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8700" activeTab="0"/>
  </bookViews>
  <sheets>
    <sheet name="SetSizeEffects" sheetId="1" r:id="rId1"/>
    <sheet name="PracticeEffects" sheetId="2" r:id="rId2"/>
    <sheet name="RepetitionEffects" sheetId="3" r:id="rId3"/>
    <sheet name="Experiment1" sheetId="4" r:id="rId4"/>
    <sheet name="Experiment2" sheetId="5" r:id="rId5"/>
  </sheets>
  <definedNames>
    <definedName name="solver_adj" localSheetId="3" hidden="1">'Experiment1'!$I$9:$I$11</definedName>
    <definedName name="solver_adj" localSheetId="4" hidden="1">'Experiment2'!$I$9:$I$11</definedName>
    <definedName name="solver_adj" localSheetId="1" hidden="1">'PracticeEffects'!$J$9:$J$11</definedName>
    <definedName name="solver_adj" localSheetId="2" hidden="1">'RepetitionEffects'!$I$9:$I$10</definedName>
    <definedName name="solver_adj" localSheetId="0" hidden="1">'SetSizeEffects'!$I$18:$L$19</definedName>
    <definedName name="solver_cvg" localSheetId="3" hidden="1">0.0001</definedName>
    <definedName name="solver_cvg" localSheetId="4" hidden="1">0.0001</definedName>
    <definedName name="solver_cvg" localSheetId="1" hidden="1">0.0001</definedName>
    <definedName name="solver_cvg" localSheetId="2" hidden="1">0.0001</definedName>
    <definedName name="solver_cvg" localSheetId="0" hidden="1">0.0001</definedName>
    <definedName name="solver_drv" localSheetId="3" hidden="1">1</definedName>
    <definedName name="solver_drv" localSheetId="4" hidden="1">1</definedName>
    <definedName name="solver_drv" localSheetId="1" hidden="1">1</definedName>
    <definedName name="solver_drv" localSheetId="2" hidden="1">1</definedName>
    <definedName name="solver_drv" localSheetId="0" hidden="1">1</definedName>
    <definedName name="solver_est" localSheetId="3" hidden="1">1</definedName>
    <definedName name="solver_est" localSheetId="4" hidden="1">1</definedName>
    <definedName name="solver_est" localSheetId="1" hidden="1">1</definedName>
    <definedName name="solver_est" localSheetId="2" hidden="1">1</definedName>
    <definedName name="solver_est" localSheetId="0" hidden="1">1</definedName>
    <definedName name="solver_itr" localSheetId="3" hidden="1">100</definedName>
    <definedName name="solver_itr" localSheetId="4" hidden="1">100</definedName>
    <definedName name="solver_itr" localSheetId="1" hidden="1">100</definedName>
    <definedName name="solver_itr" localSheetId="2" hidden="1">100</definedName>
    <definedName name="solver_itr" localSheetId="0" hidden="1">100</definedName>
    <definedName name="solver_lin" localSheetId="3" hidden="1">2</definedName>
    <definedName name="solver_lin" localSheetId="4" hidden="1">2</definedName>
    <definedName name="solver_lin" localSheetId="1" hidden="1">2</definedName>
    <definedName name="solver_lin" localSheetId="2" hidden="1">2</definedName>
    <definedName name="solver_lin" localSheetId="0" hidden="1">2</definedName>
    <definedName name="solver_neg" localSheetId="3" hidden="1">2</definedName>
    <definedName name="solver_neg" localSheetId="4" hidden="1">2</definedName>
    <definedName name="solver_neg" localSheetId="1" hidden="1">2</definedName>
    <definedName name="solver_neg" localSheetId="2" hidden="1">2</definedName>
    <definedName name="solver_neg" localSheetId="0" hidden="1">2</definedName>
    <definedName name="solver_num" localSheetId="3" hidden="1">0</definedName>
    <definedName name="solver_num" localSheetId="4" hidden="1">0</definedName>
    <definedName name="solver_num" localSheetId="1" hidden="1">0</definedName>
    <definedName name="solver_num" localSheetId="2" hidden="1">0</definedName>
    <definedName name="solver_num" localSheetId="0" hidden="1">0</definedName>
    <definedName name="solver_nwt" localSheetId="3" hidden="1">1</definedName>
    <definedName name="solver_nwt" localSheetId="4" hidden="1">1</definedName>
    <definedName name="solver_nwt" localSheetId="1" hidden="1">1</definedName>
    <definedName name="solver_nwt" localSheetId="2" hidden="1">1</definedName>
    <definedName name="solver_nwt" localSheetId="0" hidden="1">1</definedName>
    <definedName name="solver_opt" localSheetId="3" hidden="1">'Experiment1'!$I$12</definedName>
    <definedName name="solver_opt" localSheetId="4" hidden="1">'Experiment2'!$I$12</definedName>
    <definedName name="solver_opt" localSheetId="1" hidden="1">'PracticeEffects'!$J$12</definedName>
    <definedName name="solver_opt" localSheetId="2" hidden="1">'RepetitionEffects'!$I$11</definedName>
    <definedName name="solver_opt" localSheetId="0" hidden="1">'SetSizeEffects'!$N$20</definedName>
    <definedName name="solver_pre" localSheetId="3" hidden="1">0.000001</definedName>
    <definedName name="solver_pre" localSheetId="4" hidden="1">0.000001</definedName>
    <definedName name="solver_pre" localSheetId="1" hidden="1">0.000001</definedName>
    <definedName name="solver_pre" localSheetId="2" hidden="1">0.000001</definedName>
    <definedName name="solver_pre" localSheetId="0" hidden="1">0.000001</definedName>
    <definedName name="solver_scl" localSheetId="3" hidden="1">2</definedName>
    <definedName name="solver_scl" localSheetId="4" hidden="1">2</definedName>
    <definedName name="solver_scl" localSheetId="1" hidden="1">2</definedName>
    <definedName name="solver_scl" localSheetId="2" hidden="1">2</definedName>
    <definedName name="solver_scl" localSheetId="0" hidden="1">2</definedName>
    <definedName name="solver_sho" localSheetId="3" hidden="1">2</definedName>
    <definedName name="solver_sho" localSheetId="4" hidden="1">2</definedName>
    <definedName name="solver_sho" localSheetId="1" hidden="1">2</definedName>
    <definedName name="solver_sho" localSheetId="2" hidden="1">2</definedName>
    <definedName name="solver_sho" localSheetId="0" hidden="1">2</definedName>
    <definedName name="solver_tim" localSheetId="3" hidden="1">100</definedName>
    <definedName name="solver_tim" localSheetId="4" hidden="1">100</definedName>
    <definedName name="solver_tim" localSheetId="1" hidden="1">100</definedName>
    <definedName name="solver_tim" localSheetId="2" hidden="1">100</definedName>
    <definedName name="solver_tim" localSheetId="0" hidden="1">100</definedName>
    <definedName name="solver_tol" localSheetId="3" hidden="1">0.05</definedName>
    <definedName name="solver_tol" localSheetId="4" hidden="1">0.05</definedName>
    <definedName name="solver_tol" localSheetId="1" hidden="1">0.05</definedName>
    <definedName name="solver_tol" localSheetId="2" hidden="1">0.05</definedName>
    <definedName name="solver_tol" localSheetId="0" hidden="1">0.05</definedName>
    <definedName name="solver_typ" localSheetId="3" hidden="1">2</definedName>
    <definedName name="solver_typ" localSheetId="4" hidden="1">2</definedName>
    <definedName name="solver_typ" localSheetId="1" hidden="1">2</definedName>
    <definedName name="solver_typ" localSheetId="2" hidden="1">2</definedName>
    <definedName name="solver_typ" localSheetId="0" hidden="1">2</definedName>
    <definedName name="solver_val" localSheetId="3" hidden="1">0</definedName>
    <definedName name="solver_val" localSheetId="4" hidden="1">0</definedName>
    <definedName name="solver_val" localSheetId="1" hidden="1">0</definedName>
    <definedName name="solver_val" localSheetId="2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<sst xmlns="http://schemas.openxmlformats.org/spreadsheetml/2006/main" count="260" uniqueCount="75">
  <si>
    <t>Data</t>
  </si>
  <si>
    <t>Hyman (1953)</t>
  </si>
  <si>
    <t>n</t>
  </si>
  <si>
    <t>Merkel (1885)</t>
  </si>
  <si>
    <t>Hick (1952)</t>
  </si>
  <si>
    <t>Venables (1958)</t>
  </si>
  <si>
    <r>
      <t>log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(n)</t>
    </r>
  </si>
  <si>
    <t>Linear Model Squared Deviations</t>
  </si>
  <si>
    <t>Memory-Based Model Squared Deviations</t>
  </si>
  <si>
    <t>Linear Model Predictions</t>
  </si>
  <si>
    <t>Memory-Based Model Predictions</t>
  </si>
  <si>
    <t>slope</t>
  </si>
  <si>
    <t>intercept</t>
  </si>
  <si>
    <t>Linear Model Parameters and Fit Indices</t>
  </si>
  <si>
    <t>RMSD</t>
  </si>
  <si>
    <t>r</t>
  </si>
  <si>
    <t>Memory-Based Model Parameters and Fit Indices</t>
  </si>
  <si>
    <t>W</t>
  </si>
  <si>
    <t>S</t>
  </si>
  <si>
    <t>F</t>
  </si>
  <si>
    <r>
      <t>p</t>
    </r>
    <r>
      <rPr>
        <vertAlign val="subscript"/>
        <sz val="10"/>
        <rFont val="Arial"/>
        <family val="2"/>
      </rPr>
      <t>w</t>
    </r>
  </si>
  <si>
    <r>
      <t>t</t>
    </r>
    <r>
      <rPr>
        <vertAlign val="subscript"/>
        <sz val="10"/>
        <rFont val="Arial"/>
        <family val="2"/>
      </rPr>
      <t>check</t>
    </r>
  </si>
  <si>
    <r>
      <t>t</t>
    </r>
    <r>
      <rPr>
        <vertAlign val="subscript"/>
        <sz val="10"/>
        <rFont val="Arial"/>
        <family val="2"/>
      </rPr>
      <t>residual</t>
    </r>
  </si>
  <si>
    <t>Memory-Based Model Calculations</t>
  </si>
  <si>
    <r>
      <t>p</t>
    </r>
    <r>
      <rPr>
        <vertAlign val="subscript"/>
        <sz val="10"/>
        <rFont val="Arial"/>
        <family val="2"/>
      </rPr>
      <t>check</t>
    </r>
  </si>
  <si>
    <t>Associative Activation</t>
  </si>
  <si>
    <t>Retrieval Time</t>
  </si>
  <si>
    <t>RT for Repetitions</t>
  </si>
  <si>
    <t>RT for Switches</t>
  </si>
  <si>
    <t>Mean</t>
  </si>
  <si>
    <t>Data (Hale, 1968)</t>
  </si>
  <si>
    <t>Trials</t>
  </si>
  <si>
    <t>Cumulative Number of Uses (N) at Midpoint of Block</t>
  </si>
  <si>
    <t>d</t>
  </si>
  <si>
    <t>Base-Level Activation</t>
  </si>
  <si>
    <t>Total Activation</t>
  </si>
  <si>
    <t>Modeling of Stimulus-Response Repetition Effects</t>
  </si>
  <si>
    <t>Data (Kornblum, 1969)</t>
  </si>
  <si>
    <t>Modeling of the Basic Set-Size Effect</t>
  </si>
  <si>
    <t>Modeling of Changes in the Set-Size Effect With Practice</t>
  </si>
  <si>
    <t>Info</t>
  </si>
  <si>
    <r>
      <t>p</t>
    </r>
    <r>
      <rPr>
        <vertAlign val="subscript"/>
        <sz val="10"/>
        <rFont val="Arial"/>
        <family val="2"/>
      </rPr>
      <t>switch</t>
    </r>
  </si>
  <si>
    <r>
      <t>p</t>
    </r>
    <r>
      <rPr>
        <vertAlign val="subscript"/>
        <sz val="10"/>
        <rFont val="Arial"/>
        <family val="2"/>
      </rPr>
      <t>repetition</t>
    </r>
  </si>
  <si>
    <r>
      <t>RT</t>
    </r>
    <r>
      <rPr>
        <vertAlign val="subscript"/>
        <sz val="10"/>
        <rFont val="Arial"/>
        <family val="2"/>
      </rPr>
      <t>mean</t>
    </r>
  </si>
  <si>
    <r>
      <t>RT</t>
    </r>
    <r>
      <rPr>
        <vertAlign val="subscript"/>
        <sz val="10"/>
        <rFont val="Arial"/>
        <family val="2"/>
      </rPr>
      <t>repetition</t>
    </r>
  </si>
  <si>
    <r>
      <t>RT</t>
    </r>
    <r>
      <rPr>
        <vertAlign val="subscript"/>
        <sz val="10"/>
        <rFont val="Arial"/>
        <family val="2"/>
      </rPr>
      <t>switch</t>
    </r>
  </si>
  <si>
    <t>Modeling of Experiment 1</t>
  </si>
  <si>
    <t>Data and Memory-Based Model Predictions</t>
  </si>
  <si>
    <t>Transition</t>
  </si>
  <si>
    <r>
      <t>fan</t>
    </r>
    <r>
      <rPr>
        <vertAlign val="subscript"/>
        <sz val="10"/>
        <rFont val="Arial"/>
        <family val="2"/>
      </rPr>
      <t>stim</t>
    </r>
  </si>
  <si>
    <t>Repetition</t>
  </si>
  <si>
    <t>Switch</t>
  </si>
  <si>
    <t>Model</t>
  </si>
  <si>
    <t>SqDev</t>
  </si>
  <si>
    <r>
      <t>t</t>
    </r>
    <r>
      <rPr>
        <vertAlign val="subscript"/>
        <sz val="10"/>
        <rFont val="Arial"/>
        <family val="2"/>
      </rPr>
      <t>retrieve</t>
    </r>
  </si>
  <si>
    <t>A</t>
  </si>
  <si>
    <t>Associative Activation, Retrieval Time, and RTs for Repetitions and Switches</t>
  </si>
  <si>
    <t>Sum</t>
  </si>
  <si>
    <t>Modeling of Experiment 2</t>
  </si>
  <si>
    <t>Linear</t>
  </si>
  <si>
    <t>Hick (1952) Reorganized For Figure</t>
  </si>
  <si>
    <t>Source</t>
  </si>
  <si>
    <t>Slope</t>
  </si>
  <si>
    <t>Intercept</t>
  </si>
  <si>
    <t>Point1x</t>
  </si>
  <si>
    <t>Point1y</t>
  </si>
  <si>
    <t>Point2x</t>
  </si>
  <si>
    <t>Point2y</t>
  </si>
  <si>
    <t>Linear Model Fits</t>
  </si>
  <si>
    <t>Associative Activation and Retrieval Time</t>
  </si>
  <si>
    <t>Experiments 1 and 2 Reorganized For Figure</t>
  </si>
  <si>
    <t>Data-E1</t>
  </si>
  <si>
    <t>Model-E1</t>
  </si>
  <si>
    <t>Data-E2</t>
  </si>
  <si>
    <t>Model-E2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</si>
</sst>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"/>
    <numFmt numFmtId="171" formatCode="_(* #,##0.0_);_(* \(#,##0.0\);_(* &quot;-&quot;??_);_(@_)"/>
    <numFmt numFmtId="172" formatCode="_(* #,##0_);_(* \(#,##0\);_(* &quot;-&quot;??_);_(@_)"/>
    <numFmt numFmtId="173" formatCode="0.000000000"/>
    <numFmt numFmtId="174" formatCode="0.0000000000"/>
    <numFmt numFmtId="175" formatCode="0_);\(0\)"/>
  </numFmts>
  <fonts count="9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167" fontId="1" fillId="0" borderId="0" xfId="0" applyNumberFormat="1" applyFont="1" applyAlignment="1">
      <alignment horizontal="left"/>
    </xf>
    <xf numFmtId="164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Alignment="1" quotePrefix="1">
      <alignment horizontal="left"/>
    </xf>
    <xf numFmtId="1" fontId="0" fillId="0" borderId="0" xfId="0" applyNumberFormat="1" applyAlignment="1" quotePrefix="1">
      <alignment horizontal="left"/>
    </xf>
    <xf numFmtId="2" fontId="0" fillId="0" borderId="0" xfId="0" applyNumberFormat="1" applyFont="1" applyAlignment="1" quotePrefix="1">
      <alignment horizontal="left"/>
    </xf>
    <xf numFmtId="1" fontId="0" fillId="0" borderId="0" xfId="0" applyNumberFormat="1" applyFont="1" applyAlignment="1" quotePrefix="1">
      <alignment horizontal="left"/>
    </xf>
    <xf numFmtId="2" fontId="0" fillId="0" borderId="0" xfId="0" applyNumberFormat="1" applyFill="1" applyAlignment="1">
      <alignment horizontal="left"/>
    </xf>
    <xf numFmtId="37" fontId="0" fillId="0" borderId="0" xfId="17" applyNumberFormat="1" applyFont="1" applyAlignment="1">
      <alignment horizontal="left"/>
    </xf>
    <xf numFmtId="175" fontId="0" fillId="0" borderId="0" xfId="17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Hick (1952)</a:t>
            </a:r>
          </a:p>
        </c:rich>
      </c:tx>
      <c:layout>
        <c:manualLayout>
          <c:xMode val="factor"/>
          <c:yMode val="factor"/>
          <c:x val="0.070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53"/>
          <c:w val="0.93525"/>
          <c:h val="0.859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SetSizeEffects!$P$6:$P$12</c:f>
              <c:numCache/>
            </c:numRef>
          </c:xVal>
          <c:yVal>
            <c:numRef>
              <c:f>SetSizeEffects!$Q$6:$Q$12</c:f>
              <c:numCache/>
            </c:numRef>
          </c:yVal>
          <c:smooth val="0"/>
        </c:ser>
        <c:ser>
          <c:idx val="1"/>
          <c:order val="1"/>
          <c:tx>
            <c:v>Linear Fit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SetSizeEffects!$P$6:$P$12</c:f>
              <c:numCache/>
            </c:numRef>
          </c:xVal>
          <c:yVal>
            <c:numRef>
              <c:f>SetSizeEffects!$R$6:$R$12</c:f>
              <c:numCache/>
            </c:numRef>
          </c:yVal>
          <c:smooth val="0"/>
        </c:ser>
        <c:ser>
          <c:idx val="2"/>
          <c:order val="2"/>
          <c:tx>
            <c:v>Model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SetSizeEffects!$P$6:$P$12</c:f>
              <c:numCache/>
            </c:numRef>
          </c:xVal>
          <c:yVal>
            <c:numRef>
              <c:f>SetSizeEffects!$S$6:$S$12</c:f>
              <c:numCache/>
            </c:numRef>
          </c:yVal>
          <c:smooth val="0"/>
        </c:ser>
        <c:axId val="61941928"/>
        <c:axId val="20606441"/>
      </c:scatterChart>
      <c:valAx>
        <c:axId val="61941928"/>
        <c:scaling>
          <c:orientation val="minMax"/>
          <c:max val="3.6"/>
          <c:min val="0.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606441"/>
        <c:crosses val="autoZero"/>
        <c:crossBetween val="midCat"/>
        <c:dispUnits/>
        <c:majorUnit val="0.4"/>
      </c:valAx>
      <c:valAx>
        <c:axId val="20606441"/>
        <c:scaling>
          <c:orientation val="minMax"/>
          <c:max val="800"/>
          <c:min val="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941928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Experiment 1 Data</a:t>
            </a:r>
          </a:p>
        </c:rich>
      </c:tx>
      <c:layout>
        <c:manualLayout>
          <c:xMode val="factor"/>
          <c:yMode val="factor"/>
          <c:x val="0.0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4875"/>
          <c:w val="0.93875"/>
          <c:h val="0.87"/>
        </c:manualLayout>
      </c:layout>
      <c:scatterChart>
        <c:scatterStyle val="lineMarker"/>
        <c:varyColors val="0"/>
        <c:ser>
          <c:idx val="0"/>
          <c:order val="0"/>
          <c:tx>
            <c:v>Switch, Fan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Experiment1!$S$6:$S$8</c:f>
              <c:numCache/>
            </c:numRef>
          </c:xVal>
          <c:yVal>
            <c:numRef>
              <c:f>Experiment1!$V$6:$V$8</c:f>
              <c:numCache/>
            </c:numRef>
          </c:yVal>
          <c:smooth val="0"/>
        </c:ser>
        <c:ser>
          <c:idx val="1"/>
          <c:order val="1"/>
          <c:tx>
            <c:v>Switch, Fan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Experiment1!$S$9:$S$11</c:f>
              <c:numCache/>
            </c:numRef>
          </c:xVal>
          <c:yVal>
            <c:numRef>
              <c:f>Experiment1!$V$9:$V$11</c:f>
              <c:numCache/>
            </c:numRef>
          </c:yVal>
          <c:smooth val="0"/>
        </c:ser>
        <c:ser>
          <c:idx val="2"/>
          <c:order val="2"/>
          <c:tx>
            <c:v>Repetition, Fan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Experiment1!$S$12:$S$14</c:f>
              <c:numCache/>
            </c:numRef>
          </c:xVal>
          <c:yVal>
            <c:numRef>
              <c:f>Experiment1!$V$12:$V$14</c:f>
              <c:numCache/>
            </c:numRef>
          </c:yVal>
          <c:smooth val="0"/>
        </c:ser>
        <c:ser>
          <c:idx val="3"/>
          <c:order val="3"/>
          <c:tx>
            <c:v>Repetition, Fan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Experiment1!$S$15:$S$17</c:f>
              <c:numCache/>
            </c:numRef>
          </c:xVal>
          <c:yVal>
            <c:numRef>
              <c:f>Experiment1!$V$15:$V$17</c:f>
              <c:numCache/>
            </c:numRef>
          </c:yVal>
          <c:smooth val="0"/>
        </c:ser>
        <c:axId val="28203522"/>
        <c:axId val="52505107"/>
      </c:scatterChart>
      <c:valAx>
        <c:axId val="28203522"/>
        <c:scaling>
          <c:orientation val="minMax"/>
          <c:max val="3"/>
          <c:min val="0.5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2505107"/>
        <c:crosses val="autoZero"/>
        <c:crossBetween val="midCat"/>
        <c:dispUnits/>
        <c:majorUnit val="0.5"/>
      </c:valAx>
      <c:valAx>
        <c:axId val="52505107"/>
        <c:scaling>
          <c:orientation val="minMax"/>
          <c:max val="11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Reaction 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203522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9"/>
          <c:y val="0.11425"/>
          <c:w val="0.38525"/>
          <c:h val="0.2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Experiment 2 Model</a:t>
            </a:r>
          </a:p>
        </c:rich>
      </c:tx>
      <c:layout>
        <c:manualLayout>
          <c:xMode val="factor"/>
          <c:yMode val="factor"/>
          <c:x val="0.0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4975"/>
          <c:w val="0.9385"/>
          <c:h val="0.86825"/>
        </c:manualLayout>
      </c:layout>
      <c:scatterChart>
        <c:scatterStyle val="lineMarker"/>
        <c:varyColors val="0"/>
        <c:ser>
          <c:idx val="0"/>
          <c:order val="0"/>
          <c:tx>
            <c:v>Switch, Fan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Experiment1!$S$6:$S$8</c:f>
              <c:numCache/>
            </c:numRef>
          </c:xVal>
          <c:yVal>
            <c:numRef>
              <c:f>Experiment1!$Y$6:$Y$8</c:f>
              <c:numCache/>
            </c:numRef>
          </c:yVal>
          <c:smooth val="0"/>
        </c:ser>
        <c:ser>
          <c:idx val="1"/>
          <c:order val="1"/>
          <c:tx>
            <c:v>Switch, Fan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Experiment1!$S$9:$S$11</c:f>
              <c:numCache/>
            </c:numRef>
          </c:xVal>
          <c:yVal>
            <c:numRef>
              <c:f>Experiment1!$Y$9:$Y$11</c:f>
              <c:numCache/>
            </c:numRef>
          </c:yVal>
          <c:smooth val="0"/>
        </c:ser>
        <c:ser>
          <c:idx val="2"/>
          <c:order val="2"/>
          <c:tx>
            <c:v>Repetition, Fan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Experiment1!$S$12:$S$14</c:f>
              <c:numCache/>
            </c:numRef>
          </c:xVal>
          <c:yVal>
            <c:numRef>
              <c:f>Experiment1!$Y$12:$Y$14</c:f>
              <c:numCache/>
            </c:numRef>
          </c:yVal>
          <c:smooth val="0"/>
        </c:ser>
        <c:ser>
          <c:idx val="3"/>
          <c:order val="3"/>
          <c:tx>
            <c:v>Repetition, Fan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Experiment1!$S$15:$S$17</c:f>
              <c:numCache/>
            </c:numRef>
          </c:xVal>
          <c:yVal>
            <c:numRef>
              <c:f>Experiment1!$Y$15:$Y$17</c:f>
              <c:numCache/>
            </c:numRef>
          </c:yVal>
          <c:smooth val="0"/>
        </c:ser>
        <c:axId val="2783916"/>
        <c:axId val="25055245"/>
      </c:scatterChart>
      <c:valAx>
        <c:axId val="2783916"/>
        <c:scaling>
          <c:orientation val="minMax"/>
          <c:max val="3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log</a:t>
                </a:r>
                <a:r>
                  <a:rPr lang="en-US" cap="none" sz="12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200" b="0" i="1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055245"/>
        <c:crosses val="autoZero"/>
        <c:crossBetween val="midCat"/>
        <c:dispUnits/>
        <c:majorUnit val="0.5"/>
      </c:valAx>
      <c:valAx>
        <c:axId val="25055245"/>
        <c:scaling>
          <c:orientation val="minMax"/>
          <c:max val="2000"/>
          <c:min val="4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83916"/>
        <c:crosses val="autoZero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Experiment 2 Data</a:t>
            </a:r>
          </a:p>
        </c:rich>
      </c:tx>
      <c:layout>
        <c:manualLayout>
          <c:xMode val="factor"/>
          <c:yMode val="factor"/>
          <c:x val="0.0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485"/>
          <c:w val="0.93875"/>
          <c:h val="0.87275"/>
        </c:manualLayout>
      </c:layout>
      <c:scatterChart>
        <c:scatterStyle val="lineMarker"/>
        <c:varyColors val="0"/>
        <c:ser>
          <c:idx val="0"/>
          <c:order val="0"/>
          <c:tx>
            <c:v>Switch, Fan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Experiment1!$S$6:$S$8</c:f>
              <c:numCache/>
            </c:numRef>
          </c:xVal>
          <c:yVal>
            <c:numRef>
              <c:f>Experiment1!$X$6:$X$8</c:f>
              <c:numCache/>
            </c:numRef>
          </c:yVal>
          <c:smooth val="0"/>
        </c:ser>
        <c:ser>
          <c:idx val="1"/>
          <c:order val="1"/>
          <c:tx>
            <c:v>Switch, Fan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Experiment1!$S$9:$S$11</c:f>
              <c:numCache/>
            </c:numRef>
          </c:xVal>
          <c:yVal>
            <c:numRef>
              <c:f>Experiment1!$X$9:$X$11</c:f>
              <c:numCache/>
            </c:numRef>
          </c:yVal>
          <c:smooth val="0"/>
        </c:ser>
        <c:ser>
          <c:idx val="2"/>
          <c:order val="2"/>
          <c:tx>
            <c:v>Repetition, Fan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Experiment1!$S$12:$S$14</c:f>
              <c:numCache/>
            </c:numRef>
          </c:xVal>
          <c:yVal>
            <c:numRef>
              <c:f>Experiment1!$X$12:$X$14</c:f>
              <c:numCache/>
            </c:numRef>
          </c:yVal>
          <c:smooth val="0"/>
        </c:ser>
        <c:ser>
          <c:idx val="3"/>
          <c:order val="3"/>
          <c:tx>
            <c:v>Repetition, Fan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Experiment1!$S$15:$S$17</c:f>
              <c:numCache/>
            </c:numRef>
          </c:xVal>
          <c:yVal>
            <c:numRef>
              <c:f>Experiment1!$X$15:$X$17</c:f>
              <c:numCache/>
            </c:numRef>
          </c:yVal>
          <c:smooth val="0"/>
        </c:ser>
        <c:axId val="24170614"/>
        <c:axId val="16208935"/>
      </c:scatterChart>
      <c:valAx>
        <c:axId val="24170614"/>
        <c:scaling>
          <c:orientation val="minMax"/>
          <c:max val="3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log</a:t>
                </a:r>
                <a:r>
                  <a:rPr lang="en-US" cap="none" sz="12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200" b="0" i="1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208935"/>
        <c:crosses val="autoZero"/>
        <c:crossBetween val="midCat"/>
        <c:dispUnits/>
        <c:majorUnit val="0.5"/>
      </c:valAx>
      <c:valAx>
        <c:axId val="16208935"/>
        <c:scaling>
          <c:orientation val="minMax"/>
          <c:max val="2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Reaction 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170614"/>
        <c:crosses val="autoZero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Venables (1958)</a:t>
            </a:r>
          </a:p>
        </c:rich>
      </c:tx>
      <c:layout>
        <c:manualLayout>
          <c:xMode val="factor"/>
          <c:yMode val="factor"/>
          <c:x val="0.070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52"/>
          <c:w val="0.92875"/>
          <c:h val="0.8565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SetSizeEffects!$B$6:$B$12</c:f>
              <c:numCache/>
            </c:numRef>
          </c:xVal>
          <c:yVal>
            <c:numRef>
              <c:f>SetSizeEffects!$F$6:$F$12</c:f>
              <c:numCache/>
            </c:numRef>
          </c:yVal>
          <c:smooth val="0"/>
        </c:ser>
        <c:ser>
          <c:idx val="1"/>
          <c:order val="1"/>
          <c:tx>
            <c:v>Linear Fit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SetSizeEffects!$B$19:$B$25</c:f>
              <c:numCache/>
            </c:numRef>
          </c:xVal>
          <c:yVal>
            <c:numRef>
              <c:f>SetSizeEffects!$F$19:$F$25</c:f>
              <c:numCache/>
            </c:numRef>
          </c:yVal>
          <c:smooth val="0"/>
        </c:ser>
        <c:ser>
          <c:idx val="2"/>
          <c:order val="2"/>
          <c:tx>
            <c:v>Model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SetSizeEffects!$B$44:$B$50</c:f>
              <c:numCache/>
            </c:numRef>
          </c:xVal>
          <c:yVal>
            <c:numRef>
              <c:f>SetSizeEffects!$F$44:$F$50</c:f>
              <c:numCache/>
            </c:numRef>
          </c:yVal>
          <c:smooth val="0"/>
        </c:ser>
        <c:axId val="51240242"/>
        <c:axId val="58508995"/>
      </c:scatterChart>
      <c:valAx>
        <c:axId val="51240242"/>
        <c:scaling>
          <c:orientation val="minMax"/>
          <c:max val="3.6"/>
          <c:min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log</a:t>
                </a:r>
                <a:r>
                  <a:rPr lang="en-US" cap="none" sz="12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200" b="0" i="1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508995"/>
        <c:crosses val="autoZero"/>
        <c:crossBetween val="midCat"/>
        <c:dispUnits/>
        <c:majorUnit val="0.4"/>
      </c:valAx>
      <c:valAx>
        <c:axId val="58508995"/>
        <c:scaling>
          <c:orientation val="minMax"/>
          <c:max val="800"/>
          <c:min val="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1240242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Merkel (1885)</a:t>
            </a:r>
          </a:p>
        </c:rich>
      </c:tx>
      <c:layout>
        <c:manualLayout>
          <c:xMode val="factor"/>
          <c:yMode val="factor"/>
          <c:x val="0.070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5225"/>
          <c:w val="0.93575"/>
          <c:h val="0.8635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SetSizeEffects!$B$6:$B$14</c:f>
              <c:numCache/>
            </c:numRef>
          </c:xVal>
          <c:yVal>
            <c:numRef>
              <c:f>SetSizeEffects!$C$6:$C$14</c:f>
              <c:numCache/>
            </c:numRef>
          </c:yVal>
          <c:smooth val="0"/>
        </c:ser>
        <c:ser>
          <c:idx val="1"/>
          <c:order val="1"/>
          <c:tx>
            <c:v>Linear Fit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SetSizeEffects!$B$19:$B$27</c:f>
              <c:numCache/>
            </c:numRef>
          </c:xVal>
          <c:yVal>
            <c:numRef>
              <c:f>SetSizeEffects!$C$19:$C$27</c:f>
              <c:numCache/>
            </c:numRef>
          </c:yVal>
          <c:smooth val="0"/>
        </c:ser>
        <c:ser>
          <c:idx val="2"/>
          <c:order val="2"/>
          <c:tx>
            <c:v>Model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SetSizeEffects!$B$44:$B$52</c:f>
              <c:numCache/>
            </c:numRef>
          </c:xVal>
          <c:yVal>
            <c:numRef>
              <c:f>SetSizeEffects!$C$44:$C$52</c:f>
              <c:numCache/>
            </c:numRef>
          </c:yVal>
          <c:smooth val="0"/>
        </c:ser>
        <c:axId val="56818908"/>
        <c:axId val="41608125"/>
      </c:scatterChart>
      <c:valAx>
        <c:axId val="56818908"/>
        <c:scaling>
          <c:orientation val="minMax"/>
          <c:max val="3.6"/>
          <c:min val="0.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1608125"/>
        <c:crosses val="autoZero"/>
        <c:crossBetween val="midCat"/>
        <c:dispUnits/>
        <c:majorUnit val="0.4"/>
      </c:valAx>
      <c:valAx>
        <c:axId val="41608125"/>
        <c:scaling>
          <c:orientation val="minMax"/>
          <c:max val="8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Reaction 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818908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025"/>
          <c:y val="0.124"/>
          <c:w val="0.26725"/>
          <c:h val="0.2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Hyman (1953)</a:t>
            </a:r>
          </a:p>
        </c:rich>
      </c:tx>
      <c:layout>
        <c:manualLayout>
          <c:xMode val="factor"/>
          <c:yMode val="factor"/>
          <c:x val="0.070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5"/>
          <c:w val="0.9235"/>
          <c:h val="0.85875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SetSizeEffects!$B$6:$B$12</c:f>
              <c:numCache/>
            </c:numRef>
          </c:xVal>
          <c:yVal>
            <c:numRef>
              <c:f>SetSizeEffects!$E$6:$E$12</c:f>
              <c:numCache/>
            </c:numRef>
          </c:yVal>
          <c:smooth val="0"/>
        </c:ser>
        <c:ser>
          <c:idx val="1"/>
          <c:order val="1"/>
          <c:tx>
            <c:v>Linear Fit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SetSizeEffects!$B$19:$B$25</c:f>
              <c:numCache/>
            </c:numRef>
          </c:xVal>
          <c:yVal>
            <c:numRef>
              <c:f>SetSizeEffects!$E$19:$E$25</c:f>
              <c:numCache/>
            </c:numRef>
          </c:yVal>
          <c:smooth val="0"/>
        </c:ser>
        <c:ser>
          <c:idx val="2"/>
          <c:order val="2"/>
          <c:tx>
            <c:v>Model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SetSizeEffects!$B$44:$B$50</c:f>
              <c:numCache/>
            </c:numRef>
          </c:xVal>
          <c:yVal>
            <c:numRef>
              <c:f>SetSizeEffects!$E$44:$E$50</c:f>
              <c:numCache/>
            </c:numRef>
          </c:yVal>
          <c:smooth val="0"/>
        </c:ser>
        <c:axId val="38928806"/>
        <c:axId val="14814935"/>
      </c:scatterChart>
      <c:valAx>
        <c:axId val="38928806"/>
        <c:scaling>
          <c:orientation val="minMax"/>
          <c:max val="3.6"/>
          <c:min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log</a:t>
                </a:r>
                <a:r>
                  <a:rPr lang="en-US" cap="none" sz="12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200" b="0" i="1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814935"/>
        <c:crosses val="autoZero"/>
        <c:crossBetween val="midCat"/>
        <c:dispUnits/>
        <c:majorUnit val="0.4"/>
      </c:valAx>
      <c:valAx>
        <c:axId val="14814935"/>
        <c:scaling>
          <c:orientation val="minMax"/>
          <c:max val="8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Reaction 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928806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Model</a:t>
            </a:r>
          </a:p>
        </c:rich>
      </c:tx>
      <c:layout>
        <c:manualLayout>
          <c:xMode val="factor"/>
          <c:yMode val="factor"/>
          <c:x val="0.0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5"/>
          <c:w val="0.93825"/>
          <c:h val="0.86775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PracticeEffects!$B$23:$B$25</c:f>
              <c:numCache/>
            </c:numRef>
          </c:xVal>
          <c:yVal>
            <c:numRef>
              <c:f>PracticeEffects!$C$23:$C$25</c:f>
              <c:numCache/>
            </c:numRef>
          </c:yVal>
          <c:smooth val="0"/>
        </c:ser>
        <c:ser>
          <c:idx val="1"/>
          <c:order val="1"/>
          <c:tx>
            <c:v>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PracticeEffects!$B$23:$B$25</c:f>
              <c:numCache/>
            </c:numRef>
          </c:xVal>
          <c:yVal>
            <c:numRef>
              <c:f>PracticeEffects!$D$23:$D$25</c:f>
              <c:numCache/>
            </c:numRef>
          </c:yVal>
          <c:smooth val="0"/>
        </c:ser>
        <c:ser>
          <c:idx val="2"/>
          <c:order val="2"/>
          <c:tx>
            <c:v>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PracticeEffects!$B$23:$B$25</c:f>
              <c:numCache/>
            </c:numRef>
          </c:xVal>
          <c:yVal>
            <c:numRef>
              <c:f>PracticeEffects!$E$23:$E$25</c:f>
              <c:numCache/>
            </c:numRef>
          </c:yVal>
          <c:smooth val="0"/>
        </c:ser>
        <c:ser>
          <c:idx val="3"/>
          <c:order val="3"/>
          <c:tx>
            <c:v>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PracticeEffects!$B$23:$B$25</c:f>
              <c:numCache/>
            </c:numRef>
          </c:xVal>
          <c:yVal>
            <c:numRef>
              <c:f>PracticeEffects!$F$23:$F$25</c:f>
              <c:numCache/>
            </c:numRef>
          </c:yVal>
          <c:smooth val="0"/>
        </c:ser>
        <c:ser>
          <c:idx val="4"/>
          <c:order val="4"/>
          <c:tx>
            <c:v>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PracticeEffects!$B$23:$B$25</c:f>
              <c:numCache/>
            </c:numRef>
          </c:xVal>
          <c:yVal>
            <c:numRef>
              <c:f>PracticeEffects!$G$23:$G$25</c:f>
              <c:numCache/>
            </c:numRef>
          </c:yVal>
          <c:smooth val="0"/>
        </c:ser>
        <c:axId val="66225552"/>
        <c:axId val="59159057"/>
      </c:scatterChart>
      <c:valAx>
        <c:axId val="66225552"/>
        <c:scaling>
          <c:orientation val="minMax"/>
          <c:max val="3.5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log</a:t>
                </a:r>
                <a:r>
                  <a:rPr lang="en-US" cap="none" sz="12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200" b="0" i="1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159057"/>
        <c:crosses val="autoZero"/>
        <c:crossBetween val="midCat"/>
        <c:dispUnits/>
        <c:majorUnit val="0.5"/>
      </c:valAx>
      <c:valAx>
        <c:axId val="59159057"/>
        <c:scaling>
          <c:orientation val="minMax"/>
          <c:max val="1100"/>
          <c:min val="3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225552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Hale (1968) Data</a:t>
            </a:r>
          </a:p>
        </c:rich>
      </c:tx>
      <c:layout>
        <c:manualLayout>
          <c:xMode val="factor"/>
          <c:yMode val="factor"/>
          <c:x val="0.0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4875"/>
          <c:w val="0.93875"/>
          <c:h val="0.869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PracticeEffects!$B$7:$B$9</c:f>
              <c:numCache/>
            </c:numRef>
          </c:xVal>
          <c:yVal>
            <c:numRef>
              <c:f>PracticeEffects!$C$7:$C$9</c:f>
              <c:numCache/>
            </c:numRef>
          </c:yVal>
          <c:smooth val="0"/>
        </c:ser>
        <c:ser>
          <c:idx val="1"/>
          <c:order val="1"/>
          <c:tx>
            <c:v>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PracticeEffects!$B$7:$B$9</c:f>
              <c:numCache/>
            </c:numRef>
          </c:xVal>
          <c:yVal>
            <c:numRef>
              <c:f>PracticeEffects!$D$7:$D$9</c:f>
              <c:numCache/>
            </c:numRef>
          </c:yVal>
          <c:smooth val="0"/>
        </c:ser>
        <c:ser>
          <c:idx val="2"/>
          <c:order val="2"/>
          <c:tx>
            <c:v>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PracticeEffects!$B$7:$B$9</c:f>
              <c:numCache/>
            </c:numRef>
          </c:xVal>
          <c:yVal>
            <c:numRef>
              <c:f>PracticeEffects!$E$7:$E$9</c:f>
              <c:numCache/>
            </c:numRef>
          </c:yVal>
          <c:smooth val="0"/>
        </c:ser>
        <c:ser>
          <c:idx val="3"/>
          <c:order val="3"/>
          <c:tx>
            <c:v>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PracticeEffects!$B$7:$B$9</c:f>
              <c:numCache/>
            </c:numRef>
          </c:xVal>
          <c:yVal>
            <c:numRef>
              <c:f>PracticeEffects!$F$7:$F$9</c:f>
              <c:numCache/>
            </c:numRef>
          </c:yVal>
          <c:smooth val="0"/>
        </c:ser>
        <c:ser>
          <c:idx val="4"/>
          <c:order val="4"/>
          <c:tx>
            <c:v>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PracticeEffects!$B$7:$B$9</c:f>
              <c:numCache/>
            </c:numRef>
          </c:xVal>
          <c:yVal>
            <c:numRef>
              <c:f>PracticeEffects!$G$7:$G$9</c:f>
              <c:numCache/>
            </c:numRef>
          </c:yVal>
          <c:smooth val="0"/>
        </c:ser>
        <c:axId val="62669466"/>
        <c:axId val="27154283"/>
      </c:scatterChart>
      <c:valAx>
        <c:axId val="62669466"/>
        <c:scaling>
          <c:orientation val="minMax"/>
          <c:max val="3.5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log</a:t>
                </a:r>
                <a:r>
                  <a:rPr lang="en-US" cap="none" sz="12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200" b="0" i="1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154283"/>
        <c:crosses val="autoZero"/>
        <c:crossBetween val="midCat"/>
        <c:dispUnits/>
        <c:majorUnit val="0.5"/>
      </c:valAx>
      <c:valAx>
        <c:axId val="27154283"/>
        <c:scaling>
          <c:orientation val="minMax"/>
          <c:max val="11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Reaction 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669466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925"/>
          <c:y val="0.1785"/>
          <c:w val="0.1505"/>
          <c:h val="0.3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Model</a:t>
            </a:r>
          </a:p>
        </c:rich>
      </c:tx>
      <c:layout>
        <c:manualLayout>
          <c:xMode val="factor"/>
          <c:yMode val="factor"/>
          <c:x val="0.07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4975"/>
          <c:w val="0.91375"/>
          <c:h val="0.86825"/>
        </c:manualLayout>
      </c:layout>
      <c:scatterChart>
        <c:scatterStyle val="lineMarker"/>
        <c:varyColors val="0"/>
        <c:ser>
          <c:idx val="0"/>
          <c:order val="0"/>
          <c:tx>
            <c:v>Switch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RepetitionEffects!$C$18:$C$25</c:f>
              <c:numCache/>
            </c:numRef>
          </c:xVal>
          <c:yVal>
            <c:numRef>
              <c:f>RepetitionEffects!$F$18:$F$25</c:f>
              <c:numCache/>
            </c:numRef>
          </c:yVal>
          <c:smooth val="0"/>
        </c:ser>
        <c:ser>
          <c:idx val="1"/>
          <c:order val="1"/>
          <c:tx>
            <c:v>Repetition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RepetitionEffects!$C$18:$C$24</c:f>
              <c:numCache/>
            </c:numRef>
          </c:xVal>
          <c:yVal>
            <c:numRef>
              <c:f>RepetitionEffects!$E$18:$E$24</c:f>
              <c:numCache/>
            </c:numRef>
          </c:yVal>
          <c:smooth val="0"/>
        </c:ser>
        <c:ser>
          <c:idx val="2"/>
          <c:order val="2"/>
          <c:tx>
            <c:v>Linear Fit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(RepetitionEffects!$R$8,RepetitionEffects!$T$8)</c:f>
              <c:numCache/>
            </c:numRef>
          </c:xVal>
          <c:yVal>
            <c:numRef>
              <c:f>(RepetitionEffects!$S$8,RepetitionEffects!$U$8)</c:f>
              <c:numCache/>
            </c:numRef>
          </c:yVal>
          <c:smooth val="0"/>
        </c:ser>
        <c:ser>
          <c:idx val="3"/>
          <c:order val="3"/>
          <c:tx>
            <c:v>Linear Fit (Rep)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(RepetitionEffects!$R$9,RepetitionEffects!$T$9)</c:f>
              <c:numCache/>
            </c:numRef>
          </c:xVal>
          <c:yVal>
            <c:numRef>
              <c:f>(RepetitionEffects!$S$9,RepetitionEffects!$U$9)</c:f>
              <c:numCache/>
            </c:numRef>
          </c:yVal>
          <c:smooth val="0"/>
        </c:ser>
        <c:axId val="43061956"/>
        <c:axId val="52013285"/>
      </c:scatterChart>
      <c:valAx>
        <c:axId val="43061956"/>
        <c:scaling>
          <c:orientation val="minMax"/>
          <c:max val="0.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Probability of Repetition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2013285"/>
        <c:crosses val="autoZero"/>
        <c:crossBetween val="midCat"/>
        <c:dispUnits/>
        <c:majorUnit val="0.1"/>
      </c:valAx>
      <c:valAx>
        <c:axId val="52013285"/>
        <c:scaling>
          <c:orientation val="minMax"/>
          <c:max val="420"/>
          <c:min val="2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061956"/>
        <c:crosses val="autoZero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Kornblum (1969) Data</a:t>
            </a:r>
          </a:p>
        </c:rich>
      </c:tx>
      <c:layout>
        <c:manualLayout>
          <c:xMode val="factor"/>
          <c:yMode val="factor"/>
          <c:x val="0.076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5"/>
          <c:w val="0.91575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Switch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RepetitionEffects!$C$6:$C$13</c:f>
              <c:numCache/>
            </c:numRef>
          </c:xVal>
          <c:yVal>
            <c:numRef>
              <c:f>RepetitionEffects!$F$6:$F$13</c:f>
              <c:numCache/>
            </c:numRef>
          </c:yVal>
          <c:smooth val="0"/>
        </c:ser>
        <c:ser>
          <c:idx val="1"/>
          <c:order val="1"/>
          <c:tx>
            <c:v>Repetition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RepetitionEffects!$C$6:$C$12</c:f>
              <c:numCache/>
            </c:numRef>
          </c:xVal>
          <c:yVal>
            <c:numRef>
              <c:f>RepetitionEffects!$E$6:$E$12</c:f>
              <c:numCache/>
            </c:numRef>
          </c:yVal>
          <c:smooth val="0"/>
        </c:ser>
        <c:ser>
          <c:idx val="2"/>
          <c:order val="2"/>
          <c:tx>
            <c:v>Linear Fit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(RepetitionEffects!$R$6,RepetitionEffects!$T$6)</c:f>
              <c:numCache/>
            </c:numRef>
          </c:xVal>
          <c:yVal>
            <c:numRef>
              <c:f>(RepetitionEffects!$S$6,RepetitionEffects!$U$6)</c:f>
              <c:numCache/>
            </c:numRef>
          </c:yVal>
          <c:smooth val="0"/>
        </c:ser>
        <c:ser>
          <c:idx val="3"/>
          <c:order val="3"/>
          <c:tx>
            <c:v>Linear Fit (Rep)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(RepetitionEffects!$R$7,RepetitionEffects!$T$7)</c:f>
              <c:numCache/>
            </c:numRef>
          </c:xVal>
          <c:yVal>
            <c:numRef>
              <c:f>(RepetitionEffects!$S$7,RepetitionEffects!$U$7)</c:f>
              <c:numCache/>
            </c:numRef>
          </c:yVal>
          <c:smooth val="0"/>
        </c:ser>
        <c:axId val="65466382"/>
        <c:axId val="52326527"/>
      </c:scatterChart>
      <c:valAx>
        <c:axId val="65466382"/>
        <c:scaling>
          <c:orientation val="minMax"/>
          <c:max val="0.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Probability of Repetition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2326527"/>
        <c:crosses val="autoZero"/>
        <c:crossBetween val="midCat"/>
        <c:dispUnits/>
        <c:majorUnit val="0.1"/>
      </c:valAx>
      <c:valAx>
        <c:axId val="52326527"/>
        <c:scaling>
          <c:orientation val="minMax"/>
          <c:max val="420"/>
          <c:min val="2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Reaction 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466382"/>
        <c:crosses val="autoZero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99"/>
          <c:y val="0.56425"/>
          <c:w val="0.26775"/>
          <c:h val="0.2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Experiment 1 Model</a:t>
            </a:r>
          </a:p>
        </c:rich>
      </c:tx>
      <c:layout>
        <c:manualLayout>
          <c:xMode val="factor"/>
          <c:yMode val="factor"/>
          <c:x val="0.0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535"/>
          <c:w val="0.9385"/>
          <c:h val="0.8645"/>
        </c:manualLayout>
      </c:layout>
      <c:scatterChart>
        <c:scatterStyle val="lineMarker"/>
        <c:varyColors val="0"/>
        <c:ser>
          <c:idx val="0"/>
          <c:order val="0"/>
          <c:tx>
            <c:v>Switch, Fan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Experiment1!$S$6:$S$8</c:f>
              <c:numCache/>
            </c:numRef>
          </c:xVal>
          <c:yVal>
            <c:numRef>
              <c:f>Experiment1!$W$6:$W$8</c:f>
              <c:numCache/>
            </c:numRef>
          </c:yVal>
          <c:smooth val="0"/>
        </c:ser>
        <c:ser>
          <c:idx val="1"/>
          <c:order val="1"/>
          <c:tx>
            <c:v>Switch, Fan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Experiment1!$S$9:$S$11</c:f>
              <c:numCache/>
            </c:numRef>
          </c:xVal>
          <c:yVal>
            <c:numRef>
              <c:f>Experiment1!$W$9:$W$11</c:f>
              <c:numCache/>
            </c:numRef>
          </c:yVal>
          <c:smooth val="0"/>
        </c:ser>
        <c:ser>
          <c:idx val="2"/>
          <c:order val="2"/>
          <c:tx>
            <c:v>Repetition, Fan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Experiment1!$S$12:$S$14</c:f>
              <c:numCache/>
            </c:numRef>
          </c:xVal>
          <c:yVal>
            <c:numRef>
              <c:f>Experiment1!$W$12:$W$14</c:f>
              <c:numCache/>
            </c:numRef>
          </c:yVal>
          <c:smooth val="0"/>
        </c:ser>
        <c:ser>
          <c:idx val="3"/>
          <c:order val="3"/>
          <c:tx>
            <c:v>Repetition, Fan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Experiment1!$S$15:$S$17</c:f>
              <c:numCache/>
            </c:numRef>
          </c:xVal>
          <c:yVal>
            <c:numRef>
              <c:f>Experiment1!$W$15:$W$17</c:f>
              <c:numCache/>
            </c:numRef>
          </c:yVal>
          <c:smooth val="0"/>
        </c:ser>
        <c:axId val="1176696"/>
        <c:axId val="10590265"/>
      </c:scatterChart>
      <c:valAx>
        <c:axId val="1176696"/>
        <c:scaling>
          <c:orientation val="minMax"/>
          <c:max val="3"/>
          <c:min val="0.5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0590265"/>
        <c:crosses val="autoZero"/>
        <c:crossBetween val="midCat"/>
        <c:dispUnits/>
        <c:majorUnit val="0.5"/>
      </c:valAx>
      <c:valAx>
        <c:axId val="10590265"/>
        <c:scaling>
          <c:orientation val="minMax"/>
          <c:max val="1100"/>
          <c:min val="3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76696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14</xdr:row>
      <xdr:rowOff>0</xdr:rowOff>
    </xdr:from>
    <xdr:to>
      <xdr:col>27</xdr:col>
      <xdr:colOff>133350</xdr:colOff>
      <xdr:row>46</xdr:row>
      <xdr:rowOff>47625</xdr:rowOff>
    </xdr:to>
    <xdr:grpSp>
      <xdr:nvGrpSpPr>
        <xdr:cNvPr id="1" name="Group 10"/>
        <xdr:cNvGrpSpPr>
          <a:grpSpLocks/>
        </xdr:cNvGrpSpPr>
      </xdr:nvGrpSpPr>
      <xdr:grpSpPr>
        <a:xfrm>
          <a:off x="10363200" y="2305050"/>
          <a:ext cx="7448550" cy="5419725"/>
          <a:chOff x="1088" y="225"/>
          <a:chExt cx="782" cy="56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1469" y="225"/>
          <a:ext cx="398" cy="29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1469" y="501"/>
          <a:ext cx="401" cy="29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4"/>
          <xdr:cNvGraphicFramePr/>
        </xdr:nvGraphicFramePr>
        <xdr:xfrm>
          <a:off x="1088" y="225"/>
          <a:ext cx="398" cy="291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5"/>
          <xdr:cNvGraphicFramePr/>
        </xdr:nvGraphicFramePr>
        <xdr:xfrm>
          <a:off x="1088" y="502"/>
          <a:ext cx="403" cy="292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</xdr:row>
      <xdr:rowOff>0</xdr:rowOff>
    </xdr:from>
    <xdr:to>
      <xdr:col>26</xdr:col>
      <xdr:colOff>104775</xdr:colOff>
      <xdr:row>19</xdr:row>
      <xdr:rowOff>9525</xdr:rowOff>
    </xdr:to>
    <xdr:grpSp>
      <xdr:nvGrpSpPr>
        <xdr:cNvPr id="1" name="Group 10"/>
        <xdr:cNvGrpSpPr>
          <a:grpSpLocks/>
        </xdr:cNvGrpSpPr>
      </xdr:nvGrpSpPr>
      <xdr:grpSpPr>
        <a:xfrm>
          <a:off x="7458075" y="485775"/>
          <a:ext cx="7419975" cy="2752725"/>
          <a:chOff x="783" y="51"/>
          <a:chExt cx="779" cy="28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1161" y="51"/>
          <a:ext cx="401" cy="28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783" y="51"/>
          <a:ext cx="401" cy="28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TextBox 4"/>
          <xdr:cNvSpPr txBox="1">
            <a:spLocks noChangeArrowheads="1"/>
          </xdr:cNvSpPr>
        </xdr:nvSpPr>
        <xdr:spPr>
          <a:xfrm>
            <a:off x="867" y="87"/>
            <a:ext cx="13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Block of 1000 Trials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0</xdr:rowOff>
    </xdr:from>
    <xdr:to>
      <xdr:col>25</xdr:col>
      <xdr:colOff>152400</xdr:colOff>
      <xdr:row>27</xdr:row>
      <xdr:rowOff>95250</xdr:rowOff>
    </xdr:to>
    <xdr:grpSp>
      <xdr:nvGrpSpPr>
        <xdr:cNvPr id="1" name="Group 5"/>
        <xdr:cNvGrpSpPr>
          <a:grpSpLocks/>
        </xdr:cNvGrpSpPr>
      </xdr:nvGrpSpPr>
      <xdr:grpSpPr>
        <a:xfrm>
          <a:off x="7639050" y="1933575"/>
          <a:ext cx="7419975" cy="2762250"/>
          <a:chOff x="802" y="203"/>
          <a:chExt cx="779" cy="290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1179" y="203"/>
          <a:ext cx="402" cy="29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802" y="203"/>
          <a:ext cx="401" cy="28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18</xdr:row>
      <xdr:rowOff>190500</xdr:rowOff>
    </xdr:from>
    <xdr:to>
      <xdr:col>29</xdr:col>
      <xdr:colOff>47625</xdr:colOff>
      <xdr:row>52</xdr:row>
      <xdr:rowOff>57150</xdr:rowOff>
    </xdr:to>
    <xdr:grpSp>
      <xdr:nvGrpSpPr>
        <xdr:cNvPr id="1" name="Group 13"/>
        <xdr:cNvGrpSpPr>
          <a:grpSpLocks/>
        </xdr:cNvGrpSpPr>
      </xdr:nvGrpSpPr>
      <xdr:grpSpPr>
        <a:xfrm>
          <a:off x="10248900" y="3295650"/>
          <a:ext cx="7429500" cy="5410200"/>
          <a:chOff x="1076" y="346"/>
          <a:chExt cx="780" cy="568"/>
        </a:xfrm>
        <a:solidFill>
          <a:srgbClr val="FFFFFF"/>
        </a:solidFill>
      </xdr:grpSpPr>
      <xdr:graphicFrame>
        <xdr:nvGraphicFramePr>
          <xdr:cNvPr id="2" name="Chart 7"/>
          <xdr:cNvGraphicFramePr/>
        </xdr:nvGraphicFramePr>
        <xdr:xfrm>
          <a:off x="1454" y="346"/>
          <a:ext cx="402" cy="29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8"/>
          <xdr:cNvGraphicFramePr/>
        </xdr:nvGraphicFramePr>
        <xdr:xfrm>
          <a:off x="1076" y="347"/>
          <a:ext cx="401" cy="28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9"/>
          <xdr:cNvGraphicFramePr/>
        </xdr:nvGraphicFramePr>
        <xdr:xfrm>
          <a:off x="1454" y="624"/>
          <a:ext cx="402" cy="29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0"/>
          <xdr:cNvGraphicFramePr/>
        </xdr:nvGraphicFramePr>
        <xdr:xfrm>
          <a:off x="1076" y="624"/>
          <a:ext cx="401" cy="289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F1" sqref="F1"/>
    </sheetView>
  </sheetViews>
  <sheetFormatPr defaultColWidth="9.140625" defaultRowHeight="12.75"/>
  <cols>
    <col min="1" max="1" width="6.421875" style="0" customWidth="1"/>
    <col min="2" max="2" width="8.140625" style="0" customWidth="1"/>
    <col min="3" max="3" width="12.28125" style="0" bestFit="1" customWidth="1"/>
    <col min="4" max="4" width="10.421875" style="0" bestFit="1" customWidth="1"/>
    <col min="5" max="5" width="12.57421875" style="0" bestFit="1" customWidth="1"/>
    <col min="6" max="6" width="14.57421875" style="0" bestFit="1" customWidth="1"/>
    <col min="7" max="7" width="5.421875" style="0" customWidth="1"/>
    <col min="8" max="8" width="9.00390625" style="0" customWidth="1"/>
    <col min="9" max="9" width="13.140625" style="0" customWidth="1"/>
    <col min="10" max="10" width="12.00390625" style="0" bestFit="1" customWidth="1"/>
    <col min="11" max="11" width="12.57421875" style="0" bestFit="1" customWidth="1"/>
    <col min="12" max="12" width="15.57421875" style="0" bestFit="1" customWidth="1"/>
    <col min="15" max="15" width="5.00390625" style="0" customWidth="1"/>
  </cols>
  <sheetData>
    <row r="1" spans="1:12" ht="12.75">
      <c r="A1" s="1" t="s">
        <v>38</v>
      </c>
      <c r="I1" s="5"/>
      <c r="J1" s="5"/>
      <c r="K1" s="5"/>
      <c r="L1" s="5"/>
    </row>
    <row r="2" spans="9:12" ht="12.75">
      <c r="I2" s="5"/>
      <c r="J2" s="5"/>
      <c r="K2" s="5"/>
      <c r="L2" s="5"/>
    </row>
    <row r="3" spans="1:16" ht="12.75">
      <c r="A3" s="2" t="s">
        <v>0</v>
      </c>
      <c r="B3" s="3"/>
      <c r="C3" s="3"/>
      <c r="D3" s="3"/>
      <c r="E3" s="3"/>
      <c r="F3" s="3"/>
      <c r="H3" s="1" t="s">
        <v>13</v>
      </c>
      <c r="P3" s="1" t="s">
        <v>60</v>
      </c>
    </row>
    <row r="5" spans="1:19" ht="15.75">
      <c r="A5" s="3" t="s">
        <v>2</v>
      </c>
      <c r="B5" s="3" t="s">
        <v>6</v>
      </c>
      <c r="C5" s="3" t="s">
        <v>3</v>
      </c>
      <c r="D5" s="3" t="s">
        <v>4</v>
      </c>
      <c r="E5" s="3" t="s">
        <v>1</v>
      </c>
      <c r="F5" s="3" t="s">
        <v>5</v>
      </c>
      <c r="I5" s="3" t="s">
        <v>3</v>
      </c>
      <c r="J5" s="3" t="s">
        <v>4</v>
      </c>
      <c r="K5" s="3" t="s">
        <v>1</v>
      </c>
      <c r="L5" s="3" t="s">
        <v>5</v>
      </c>
      <c r="O5" s="3"/>
      <c r="P5" s="3" t="s">
        <v>6</v>
      </c>
      <c r="Q5" t="s">
        <v>0</v>
      </c>
      <c r="R5" t="s">
        <v>59</v>
      </c>
      <c r="S5" t="s">
        <v>52</v>
      </c>
    </row>
    <row r="6" spans="1:19" ht="12.75">
      <c r="A6" s="3">
        <v>2</v>
      </c>
      <c r="B6" s="4">
        <f>LOG(A6,2)</f>
        <v>1</v>
      </c>
      <c r="C6" s="3">
        <v>316</v>
      </c>
      <c r="D6" s="3">
        <v>262</v>
      </c>
      <c r="E6" s="5">
        <v>325.75</v>
      </c>
      <c r="F6" s="3">
        <v>500</v>
      </c>
      <c r="H6" t="s">
        <v>11</v>
      </c>
      <c r="I6" s="18">
        <v>145.1574521590191</v>
      </c>
      <c r="J6" s="18">
        <v>123.31345240567907</v>
      </c>
      <c r="K6" s="18">
        <v>204.4785365160292</v>
      </c>
      <c r="L6" s="18">
        <v>96.37308865499759</v>
      </c>
      <c r="O6" s="3"/>
      <c r="P6" s="4">
        <f>B6</f>
        <v>1</v>
      </c>
      <c r="Q6" s="3">
        <f>D6</f>
        <v>262</v>
      </c>
      <c r="R6" s="5">
        <f>D19</f>
        <v>245.16313256293074</v>
      </c>
      <c r="S6" s="5">
        <f>D44</f>
        <v>253.76562776994</v>
      </c>
    </row>
    <row r="7" spans="1:19" ht="12.75">
      <c r="A7" s="3">
        <v>3</v>
      </c>
      <c r="B7" s="4">
        <f aca="true" t="shared" si="0" ref="B7:B14">LOG(A7,2)</f>
        <v>1.5849625007211563</v>
      </c>
      <c r="C7" s="3">
        <v>364</v>
      </c>
      <c r="D7" s="3">
        <v>309</v>
      </c>
      <c r="E7" s="5">
        <v>448.5</v>
      </c>
      <c r="F7" s="3">
        <v>533</v>
      </c>
      <c r="H7" t="s">
        <v>12</v>
      </c>
      <c r="I7" s="18">
        <v>153.76272321688592</v>
      </c>
      <c r="J7" s="18">
        <v>121.84968015725165</v>
      </c>
      <c r="K7" s="18">
        <v>119.69859338550317</v>
      </c>
      <c r="L7" s="18">
        <v>396.223885675965</v>
      </c>
      <c r="M7" t="s">
        <v>29</v>
      </c>
      <c r="N7" t="s">
        <v>57</v>
      </c>
      <c r="O7" s="4"/>
      <c r="P7" s="4">
        <f>B7</f>
        <v>1.5849625007211563</v>
      </c>
      <c r="Q7" s="3">
        <f>D7</f>
        <v>309</v>
      </c>
      <c r="R7" s="5">
        <f>D20</f>
        <v>317.29687805471605</v>
      </c>
      <c r="S7" s="5">
        <f>D45</f>
        <v>316.88031462007984</v>
      </c>
    </row>
    <row r="8" spans="1:19" ht="12.75">
      <c r="A8" s="3">
        <v>4</v>
      </c>
      <c r="B8" s="4">
        <f t="shared" si="0"/>
        <v>2</v>
      </c>
      <c r="C8" s="3">
        <v>434</v>
      </c>
      <c r="D8" s="3">
        <v>359</v>
      </c>
      <c r="E8" s="5">
        <v>501.75</v>
      </c>
      <c r="F8" s="3">
        <v>596</v>
      </c>
      <c r="H8" t="s">
        <v>14</v>
      </c>
      <c r="I8" s="7">
        <f>SQRT(AVERAGE(C31:C39))</f>
        <v>12.003893206229872</v>
      </c>
      <c r="J8" s="7">
        <f>SQRT(AVERAGE(D31:D39))</f>
        <v>11.26357261639906</v>
      </c>
      <c r="K8" s="7">
        <f>SQRT(AVERAGE(E31:E37))</f>
        <v>16.68055667244925</v>
      </c>
      <c r="L8" s="7">
        <f>SQRT(AVERAGE(F31:F37))</f>
        <v>8.739496094001163</v>
      </c>
      <c r="M8" s="7">
        <f>AVERAGE(I8:L8)</f>
        <v>12.171879647269835</v>
      </c>
      <c r="N8" s="7">
        <f>SUM(I8:L8)</f>
        <v>48.68751858907934</v>
      </c>
      <c r="O8" s="4"/>
      <c r="P8" s="4">
        <f>B8</f>
        <v>2</v>
      </c>
      <c r="Q8" s="3">
        <f>D8</f>
        <v>359</v>
      </c>
      <c r="R8" s="5">
        <f>D21</f>
        <v>368.4765849686098</v>
      </c>
      <c r="S8" s="5">
        <f>D46</f>
        <v>362.74828143462247</v>
      </c>
    </row>
    <row r="9" spans="1:19" ht="12.75">
      <c r="A9" s="3">
        <v>5</v>
      </c>
      <c r="B9" s="4">
        <f t="shared" si="0"/>
        <v>2.321928094887362</v>
      </c>
      <c r="C9" s="3">
        <v>487</v>
      </c>
      <c r="D9" s="3">
        <v>400</v>
      </c>
      <c r="E9" s="5">
        <v>601.5</v>
      </c>
      <c r="F9" s="3">
        <v>615</v>
      </c>
      <c r="H9" t="s">
        <v>15</v>
      </c>
      <c r="I9" s="8">
        <f>CORREL(C19:C27,C6:C14)</f>
        <v>0.9936357174942361</v>
      </c>
      <c r="J9" s="8">
        <f>CORREL(D19:D27,D6:D14)</f>
        <v>0.9925873627811137</v>
      </c>
      <c r="K9" s="8">
        <f>CORREL(E19:E25,E6:E12)</f>
        <v>0.9923976142480732</v>
      </c>
      <c r="L9" s="8">
        <f>CORREL(F19:F25,F6:F12)</f>
        <v>0.990630197104841</v>
      </c>
      <c r="M9" s="8">
        <f>AVERAGE(I9:L9)</f>
        <v>0.9923127229070661</v>
      </c>
      <c r="O9" s="4"/>
      <c r="P9" s="4">
        <f>B9</f>
        <v>2.321928094887362</v>
      </c>
      <c r="Q9" s="3">
        <f>D9</f>
        <v>400</v>
      </c>
      <c r="R9" s="5">
        <f>D22</f>
        <v>408.17464977555346</v>
      </c>
      <c r="S9" s="5">
        <f>D47</f>
        <v>400.7691500563655</v>
      </c>
    </row>
    <row r="10" spans="1:19" ht="12.75">
      <c r="A10" s="3">
        <v>6</v>
      </c>
      <c r="B10" s="4">
        <f t="shared" si="0"/>
        <v>2.584962500721156</v>
      </c>
      <c r="C10" s="3">
        <v>532</v>
      </c>
      <c r="D10" s="3">
        <v>429</v>
      </c>
      <c r="E10" s="5">
        <v>674.5</v>
      </c>
      <c r="F10" s="3">
        <v>652</v>
      </c>
      <c r="O10" s="4"/>
      <c r="P10" s="4">
        <f>B10</f>
        <v>2.584962500721156</v>
      </c>
      <c r="Q10" s="3">
        <f>D10</f>
        <v>429</v>
      </c>
      <c r="R10" s="5">
        <f>D23</f>
        <v>440.6103304603951</v>
      </c>
      <c r="S10" s="5">
        <f>D48</f>
        <v>434.1332318092587</v>
      </c>
    </row>
    <row r="11" spans="1:19" ht="12.75">
      <c r="A11" s="3">
        <v>7</v>
      </c>
      <c r="B11" s="4">
        <f t="shared" si="0"/>
        <v>2.807354922057604</v>
      </c>
      <c r="C11" s="3">
        <v>570</v>
      </c>
      <c r="D11" s="3"/>
      <c r="E11" s="5">
        <v>701.25</v>
      </c>
      <c r="F11" s="3">
        <v>674</v>
      </c>
      <c r="H11" s="1" t="s">
        <v>16</v>
      </c>
      <c r="O11" s="4"/>
      <c r="P11" s="4">
        <f>B12</f>
        <v>3</v>
      </c>
      <c r="Q11" s="5">
        <f>D12</f>
        <v>506</v>
      </c>
      <c r="R11" s="5">
        <f>D25</f>
        <v>491.7900373742889</v>
      </c>
      <c r="S11" s="5">
        <f>D50</f>
        <v>492.137025665997</v>
      </c>
    </row>
    <row r="12" spans="1:19" ht="12.75">
      <c r="A12" s="3">
        <v>8</v>
      </c>
      <c r="B12" s="4">
        <f t="shared" si="0"/>
        <v>3</v>
      </c>
      <c r="C12" s="3">
        <v>603</v>
      </c>
      <c r="D12" s="3">
        <v>506</v>
      </c>
      <c r="E12" s="5">
        <v>713</v>
      </c>
      <c r="F12" s="3">
        <v>678</v>
      </c>
      <c r="O12" s="4"/>
      <c r="P12" s="4">
        <f>B14</f>
        <v>3.3219280948873626</v>
      </c>
      <c r="Q12" s="5">
        <f>D14</f>
        <v>538</v>
      </c>
      <c r="R12" s="5">
        <f>D27</f>
        <v>531.4881021812325</v>
      </c>
      <c r="S12" s="5">
        <f>D52</f>
        <v>542.5660105405318</v>
      </c>
    </row>
    <row r="13" spans="1:18" ht="12.75">
      <c r="A13" s="3">
        <v>9</v>
      </c>
      <c r="B13" s="4">
        <f t="shared" si="0"/>
        <v>3.1699250014423126</v>
      </c>
      <c r="C13" s="3">
        <v>619</v>
      </c>
      <c r="D13" s="3"/>
      <c r="E13" s="3"/>
      <c r="I13" s="3" t="s">
        <v>3</v>
      </c>
      <c r="J13" s="3" t="s">
        <v>4</v>
      </c>
      <c r="K13" s="3" t="s">
        <v>1</v>
      </c>
      <c r="L13" s="3" t="s">
        <v>5</v>
      </c>
      <c r="O13" s="4"/>
      <c r="P13" s="5"/>
      <c r="Q13" s="5"/>
      <c r="R13" s="5"/>
    </row>
    <row r="14" spans="1:15" ht="12.75">
      <c r="A14" s="3">
        <v>10</v>
      </c>
      <c r="B14" s="4">
        <f t="shared" si="0"/>
        <v>3.3219280948873626</v>
      </c>
      <c r="C14" s="3">
        <v>622</v>
      </c>
      <c r="D14" s="3">
        <v>538</v>
      </c>
      <c r="E14" s="3"/>
      <c r="F14" s="3"/>
      <c r="H14" t="s">
        <v>17</v>
      </c>
      <c r="I14" s="17">
        <v>1</v>
      </c>
      <c r="J14" s="17">
        <v>1</v>
      </c>
      <c r="K14" s="17">
        <v>1</v>
      </c>
      <c r="L14" s="17">
        <v>1</v>
      </c>
      <c r="O14" s="4"/>
    </row>
    <row r="15" spans="8:15" ht="15.75">
      <c r="H15" t="s">
        <v>20</v>
      </c>
      <c r="I15" s="17">
        <v>0.5</v>
      </c>
      <c r="J15" s="17">
        <v>0.5</v>
      </c>
      <c r="K15" s="17">
        <v>0.5</v>
      </c>
      <c r="L15" s="17">
        <v>0.5</v>
      </c>
      <c r="O15" s="4"/>
    </row>
    <row r="16" spans="1:12" ht="12.75">
      <c r="A16" s="1" t="s">
        <v>9</v>
      </c>
      <c r="H16" t="s">
        <v>18</v>
      </c>
      <c r="I16" s="17">
        <v>1.5</v>
      </c>
      <c r="J16" s="17">
        <v>1.5</v>
      </c>
      <c r="K16" s="17">
        <v>1.5</v>
      </c>
      <c r="L16" s="17">
        <v>1.5</v>
      </c>
    </row>
    <row r="17" spans="8:12" ht="15.75">
      <c r="H17" t="s">
        <v>21</v>
      </c>
      <c r="I17" s="18">
        <v>50</v>
      </c>
      <c r="J17" s="18">
        <v>50</v>
      </c>
      <c r="K17" s="18">
        <v>50</v>
      </c>
      <c r="L17" s="18">
        <v>50</v>
      </c>
    </row>
    <row r="18" spans="1:12" ht="15.75">
      <c r="A18" s="3" t="s">
        <v>2</v>
      </c>
      <c r="B18" s="3" t="s">
        <v>6</v>
      </c>
      <c r="C18" s="3" t="s">
        <v>3</v>
      </c>
      <c r="D18" s="3" t="s">
        <v>4</v>
      </c>
      <c r="E18" s="3" t="s">
        <v>1</v>
      </c>
      <c r="F18" s="3" t="s">
        <v>5</v>
      </c>
      <c r="H18" t="s">
        <v>19</v>
      </c>
      <c r="I18" s="18">
        <v>773.3566444092334</v>
      </c>
      <c r="J18" s="18">
        <v>668.5752830665504</v>
      </c>
      <c r="K18" s="18">
        <v>1115.744479541344</v>
      </c>
      <c r="L18" s="18">
        <v>551.286633047874</v>
      </c>
    </row>
    <row r="19" spans="1:14" ht="15.75">
      <c r="A19" s="3">
        <v>2</v>
      </c>
      <c r="B19" s="4">
        <f>LOG(A19,2)</f>
        <v>1</v>
      </c>
      <c r="C19" s="5">
        <f aca="true" t="shared" si="1" ref="C19:F23">I$6*$B19+I$7</f>
        <v>298.92017537590505</v>
      </c>
      <c r="D19" s="5">
        <f t="shared" si="1"/>
        <v>245.16313256293074</v>
      </c>
      <c r="E19" s="5">
        <f t="shared" si="1"/>
        <v>324.1771299015324</v>
      </c>
      <c r="F19" s="5">
        <f t="shared" si="1"/>
        <v>492.59697433096255</v>
      </c>
      <c r="H19" t="s">
        <v>22</v>
      </c>
      <c r="I19" s="18">
        <v>101.97309449773707</v>
      </c>
      <c r="J19" s="18">
        <v>70.53707521852026</v>
      </c>
      <c r="K19" s="18">
        <v>42.933634322741234</v>
      </c>
      <c r="L19" s="18">
        <v>341.90348223607776</v>
      </c>
      <c r="M19" t="s">
        <v>29</v>
      </c>
      <c r="N19" s="3" t="s">
        <v>57</v>
      </c>
    </row>
    <row r="20" spans="1:14" ht="12.75">
      <c r="A20" s="3">
        <v>3</v>
      </c>
      <c r="B20" s="4">
        <f aca="true" t="shared" si="2" ref="B20:B27">LOG(A20,2)</f>
        <v>1.5849625007211563</v>
      </c>
      <c r="C20" s="5">
        <f t="shared" si="1"/>
        <v>383.8318415891564</v>
      </c>
      <c r="D20" s="5">
        <f t="shared" si="1"/>
        <v>317.29687805471605</v>
      </c>
      <c r="E20" s="5">
        <f t="shared" si="1"/>
        <v>443.7894059657511</v>
      </c>
      <c r="F20" s="5">
        <f t="shared" si="1"/>
        <v>548.9716172728117</v>
      </c>
      <c r="H20" t="s">
        <v>14</v>
      </c>
      <c r="I20" s="7">
        <f>SQRT(AVERAGE(C56:C64))</f>
        <v>13.450694637654907</v>
      </c>
      <c r="J20" s="7">
        <f>SQRT(AVERAGE(D56:D64))</f>
        <v>7.405847385739276</v>
      </c>
      <c r="K20" s="7">
        <f>SQRT(AVERAGE(E56:E62))</f>
        <v>18.925839908406356</v>
      </c>
      <c r="L20" s="7">
        <f>SQRT(AVERAGE(F56:F62))</f>
        <v>9.462878653868005</v>
      </c>
      <c r="M20" s="7">
        <f>AVERAGE(I20:L20)</f>
        <v>12.311315146417137</v>
      </c>
      <c r="N20" s="7">
        <f>SUM(I20:L20)</f>
        <v>49.24526058566855</v>
      </c>
    </row>
    <row r="21" spans="1:13" ht="12.75">
      <c r="A21" s="3">
        <v>4</v>
      </c>
      <c r="B21" s="4">
        <f t="shared" si="2"/>
        <v>2</v>
      </c>
      <c r="C21" s="5">
        <f t="shared" si="1"/>
        <v>444.0776275349241</v>
      </c>
      <c r="D21" s="5">
        <f t="shared" si="1"/>
        <v>368.4765849686098</v>
      </c>
      <c r="E21" s="5">
        <f t="shared" si="1"/>
        <v>528.6556664175616</v>
      </c>
      <c r="F21" s="5">
        <f t="shared" si="1"/>
        <v>588.9700629859601</v>
      </c>
      <c r="H21" t="s">
        <v>15</v>
      </c>
      <c r="I21" s="8">
        <f>CORREL(C44:C52,C6:C14)</f>
        <v>0.992002648064259</v>
      </c>
      <c r="J21" s="8">
        <f>CORREL(D44:D52,D6:D14)</f>
        <v>0.9968024282006372</v>
      </c>
      <c r="K21" s="8">
        <f>CORREL(E44:E50,E6:E12)</f>
        <v>0.9902025676687494</v>
      </c>
      <c r="L21" s="8">
        <f>CORREL(F44:F50,F6:F12)</f>
        <v>0.989006124510845</v>
      </c>
      <c r="M21" s="8">
        <f>AVERAGE(I21:L21)</f>
        <v>0.9920034421111227</v>
      </c>
    </row>
    <row r="22" spans="1:14" ht="12.75">
      <c r="A22" s="3">
        <v>5</v>
      </c>
      <c r="B22" s="4">
        <f t="shared" si="2"/>
        <v>2.321928094887362</v>
      </c>
      <c r="C22" s="5">
        <f t="shared" si="1"/>
        <v>490.8078895671806</v>
      </c>
      <c r="D22" s="5">
        <f t="shared" si="1"/>
        <v>408.17464977555346</v>
      </c>
      <c r="E22" s="5">
        <f t="shared" si="1"/>
        <v>594.4830521235228</v>
      </c>
      <c r="F22" s="5">
        <f t="shared" si="1"/>
        <v>619.9952678150744</v>
      </c>
      <c r="N22" s="3"/>
    </row>
    <row r="23" spans="1:8" ht="12.75">
      <c r="A23" s="3">
        <v>6</v>
      </c>
      <c r="B23" s="4">
        <f t="shared" si="2"/>
        <v>2.584962500721156</v>
      </c>
      <c r="C23" s="5">
        <f t="shared" si="1"/>
        <v>528.9892937481756</v>
      </c>
      <c r="D23" s="5">
        <f t="shared" si="1"/>
        <v>440.6103304603951</v>
      </c>
      <c r="E23" s="5">
        <f t="shared" si="1"/>
        <v>648.2679424817802</v>
      </c>
      <c r="F23" s="5">
        <f t="shared" si="1"/>
        <v>645.3447059278092</v>
      </c>
      <c r="H23" s="1" t="s">
        <v>23</v>
      </c>
    </row>
    <row r="24" spans="1:6" ht="12.75">
      <c r="A24" s="3">
        <v>7</v>
      </c>
      <c r="B24" s="4">
        <f t="shared" si="2"/>
        <v>2.807354922057604</v>
      </c>
      <c r="C24" s="5">
        <f>I$6*$B24+I$7</f>
        <v>561.2712110088494</v>
      </c>
      <c r="D24" s="5"/>
      <c r="E24" s="5">
        <f>K$6*$B24+K$7</f>
        <v>693.7424193289133</v>
      </c>
      <c r="F24" s="5">
        <f>L$6*$B24+L$7</f>
        <v>666.7773504654663</v>
      </c>
    </row>
    <row r="25" spans="1:9" ht="12.75">
      <c r="A25" s="3">
        <v>8</v>
      </c>
      <c r="B25" s="4">
        <f t="shared" si="2"/>
        <v>3</v>
      </c>
      <c r="C25" s="5">
        <f>I$6*$B25+I$7</f>
        <v>589.2350796939432</v>
      </c>
      <c r="D25" s="5">
        <f>J$6*$B25+J$7</f>
        <v>491.7900373742889</v>
      </c>
      <c r="E25" s="5">
        <f>K$6*$B25+K$7</f>
        <v>733.1342029335908</v>
      </c>
      <c r="F25" s="5">
        <f>L$6*$B25+L$7</f>
        <v>685.3431516409578</v>
      </c>
      <c r="I25" s="1" t="s">
        <v>25</v>
      </c>
    </row>
    <row r="26" spans="1:6" ht="12.75">
      <c r="A26" s="3">
        <v>9</v>
      </c>
      <c r="B26" s="4">
        <f t="shared" si="2"/>
        <v>3.1699250014423126</v>
      </c>
      <c r="C26" s="5">
        <f>I$6*$B26+I$7</f>
        <v>613.9009599614269</v>
      </c>
      <c r="D26" s="5"/>
      <c r="E26" s="5"/>
      <c r="F26" s="5"/>
    </row>
    <row r="27" spans="1:12" ht="12.75">
      <c r="A27" s="3">
        <v>10</v>
      </c>
      <c r="B27" s="4">
        <f t="shared" si="2"/>
        <v>3.3219280948873626</v>
      </c>
      <c r="C27" s="5">
        <f>I$6*$B27+I$7</f>
        <v>635.9653417261998</v>
      </c>
      <c r="D27" s="5">
        <f>J$6*$B27+J$7</f>
        <v>531.4881021812325</v>
      </c>
      <c r="E27" s="5"/>
      <c r="F27" s="5"/>
      <c r="H27" s="3" t="s">
        <v>2</v>
      </c>
      <c r="I27" s="3" t="s">
        <v>3</v>
      </c>
      <c r="J27" s="3" t="s">
        <v>4</v>
      </c>
      <c r="K27" s="3" t="s">
        <v>1</v>
      </c>
      <c r="L27" s="3" t="s">
        <v>5</v>
      </c>
    </row>
    <row r="28" spans="8:12" ht="12.75">
      <c r="H28" s="3">
        <v>2</v>
      </c>
      <c r="I28" s="6">
        <f aca="true" t="shared" si="3" ref="I28:L36">(I$14*I$15)*(I$16-LN($H28))+(I$14*(1-I$15))*(I$16-LN(1))</f>
        <v>1.1534264097200273</v>
      </c>
      <c r="J28" s="6">
        <f t="shared" si="3"/>
        <v>1.1534264097200273</v>
      </c>
      <c r="K28" s="6">
        <f t="shared" si="3"/>
        <v>1.1534264097200273</v>
      </c>
      <c r="L28" s="6">
        <f t="shared" si="3"/>
        <v>1.1534264097200273</v>
      </c>
    </row>
    <row r="29" spans="1:12" ht="12.75">
      <c r="A29" s="1" t="s">
        <v>7</v>
      </c>
      <c r="H29" s="3">
        <v>3</v>
      </c>
      <c r="I29" s="6">
        <f t="shared" si="3"/>
        <v>0.9506938556659451</v>
      </c>
      <c r="J29" s="6">
        <f t="shared" si="3"/>
        <v>0.9506938556659451</v>
      </c>
      <c r="K29" s="6">
        <f t="shared" si="3"/>
        <v>0.9506938556659451</v>
      </c>
      <c r="L29" s="6">
        <f t="shared" si="3"/>
        <v>0.9506938556659451</v>
      </c>
    </row>
    <row r="30" spans="8:12" ht="12.75">
      <c r="H30" s="3">
        <v>4</v>
      </c>
      <c r="I30" s="6">
        <f t="shared" si="3"/>
        <v>0.8068528194400547</v>
      </c>
      <c r="J30" s="6">
        <f t="shared" si="3"/>
        <v>0.8068528194400547</v>
      </c>
      <c r="K30" s="6">
        <f t="shared" si="3"/>
        <v>0.8068528194400547</v>
      </c>
      <c r="L30" s="6">
        <f t="shared" si="3"/>
        <v>0.8068528194400547</v>
      </c>
    </row>
    <row r="31" spans="3:12" ht="12.75">
      <c r="C31" s="5">
        <f aca="true" t="shared" si="4" ref="C31:F35">(C6-C19)^2</f>
        <v>291.7204091898403</v>
      </c>
      <c r="D31" s="5">
        <f t="shared" si="4"/>
        <v>283.48010509344317</v>
      </c>
      <c r="E31" s="5">
        <f t="shared" si="4"/>
        <v>2.4739203466534896</v>
      </c>
      <c r="F31" s="5">
        <f t="shared" si="4"/>
        <v>54.804789056427346</v>
      </c>
      <c r="H31" s="3">
        <v>5</v>
      </c>
      <c r="I31" s="6">
        <f t="shared" si="3"/>
        <v>0.6952810437829499</v>
      </c>
      <c r="J31" s="6">
        <f t="shared" si="3"/>
        <v>0.6952810437829499</v>
      </c>
      <c r="K31" s="6">
        <f t="shared" si="3"/>
        <v>0.6952810437829499</v>
      </c>
      <c r="L31" s="6">
        <f t="shared" si="3"/>
        <v>0.6952810437829499</v>
      </c>
    </row>
    <row r="32" spans="3:12" ht="12.75">
      <c r="C32" s="5">
        <f t="shared" si="4"/>
        <v>393.30194081739336</v>
      </c>
      <c r="D32" s="5">
        <f t="shared" si="4"/>
        <v>68.83818545482873</v>
      </c>
      <c r="E32" s="5">
        <f t="shared" si="4"/>
        <v>22.189696155501455</v>
      </c>
      <c r="F32" s="5">
        <f t="shared" si="4"/>
        <v>255.09255830917792</v>
      </c>
      <c r="H32" s="3">
        <v>6</v>
      </c>
      <c r="I32" s="6">
        <f t="shared" si="3"/>
        <v>0.6041202653859725</v>
      </c>
      <c r="J32" s="6">
        <f t="shared" si="3"/>
        <v>0.6041202653859725</v>
      </c>
      <c r="K32" s="6">
        <f t="shared" si="3"/>
        <v>0.6041202653859725</v>
      </c>
      <c r="L32" s="6">
        <f t="shared" si="3"/>
        <v>0.6041202653859725</v>
      </c>
    </row>
    <row r="33" spans="3:12" ht="12.75">
      <c r="C33" s="5">
        <f t="shared" si="4"/>
        <v>101.5585767326602</v>
      </c>
      <c r="D33" s="5">
        <f t="shared" si="4"/>
        <v>89.80566266728147</v>
      </c>
      <c r="E33" s="5">
        <f t="shared" si="4"/>
        <v>723.9148853731039</v>
      </c>
      <c r="F33" s="5">
        <f t="shared" si="4"/>
        <v>49.42001442136805</v>
      </c>
      <c r="H33" s="3">
        <v>7</v>
      </c>
      <c r="I33" s="6">
        <f t="shared" si="3"/>
        <v>0.5270449254723434</v>
      </c>
      <c r="J33" s="6">
        <f t="shared" si="3"/>
        <v>0.5270449254723434</v>
      </c>
      <c r="K33" s="6">
        <f t="shared" si="3"/>
        <v>0.5270449254723434</v>
      </c>
      <c r="L33" s="6">
        <f t="shared" si="3"/>
        <v>0.5270449254723434</v>
      </c>
    </row>
    <row r="34" spans="3:12" ht="12.75">
      <c r="C34" s="5">
        <f t="shared" si="4"/>
        <v>14.50002295584293</v>
      </c>
      <c r="D34" s="5">
        <f t="shared" si="4"/>
        <v>66.82489895295626</v>
      </c>
      <c r="E34" s="5">
        <f t="shared" si="4"/>
        <v>49.237557501197344</v>
      </c>
      <c r="F34" s="5">
        <f t="shared" si="4"/>
        <v>24.95270054431802</v>
      </c>
      <c r="H34" s="3">
        <v>8</v>
      </c>
      <c r="I34" s="6">
        <f t="shared" si="3"/>
        <v>0.4602792291600821</v>
      </c>
      <c r="J34" s="6">
        <f t="shared" si="3"/>
        <v>0.4602792291600821</v>
      </c>
      <c r="K34" s="6">
        <f t="shared" si="3"/>
        <v>0.4602792291600821</v>
      </c>
      <c r="L34" s="6">
        <f t="shared" si="3"/>
        <v>0.4602792291600821</v>
      </c>
    </row>
    <row r="35" spans="3:12" ht="12.75">
      <c r="C35" s="5">
        <f t="shared" si="4"/>
        <v>9.064352134774797</v>
      </c>
      <c r="D35" s="5">
        <f t="shared" si="4"/>
        <v>134.79977339957873</v>
      </c>
      <c r="E35" s="5">
        <f t="shared" si="4"/>
        <v>688.1208416391914</v>
      </c>
      <c r="F35" s="5">
        <f t="shared" si="4"/>
        <v>44.29293918733836</v>
      </c>
      <c r="H35" s="3">
        <v>9</v>
      </c>
      <c r="I35" s="6">
        <f t="shared" si="3"/>
        <v>0.4013877113318902</v>
      </c>
      <c r="J35" s="6">
        <f t="shared" si="3"/>
        <v>0.4013877113318902</v>
      </c>
      <c r="K35" s="6">
        <f t="shared" si="3"/>
        <v>0.4013877113318902</v>
      </c>
      <c r="L35" s="6">
        <f t="shared" si="3"/>
        <v>0.4013877113318902</v>
      </c>
    </row>
    <row r="36" spans="3:12" ht="12.75">
      <c r="C36" s="5">
        <f>(C11-C24)^2</f>
        <v>76.1917572520323</v>
      </c>
      <c r="D36" s="5"/>
      <c r="E36" s="5">
        <f>(E11-E24)^2</f>
        <v>56.363767532873986</v>
      </c>
      <c r="F36" s="5">
        <f>(F11-F24)^2</f>
        <v>52.16666629870031</v>
      </c>
      <c r="H36" s="3">
        <v>10</v>
      </c>
      <c r="I36" s="6">
        <f t="shared" si="3"/>
        <v>0.34870745350297705</v>
      </c>
      <c r="J36" s="6">
        <f t="shared" si="3"/>
        <v>0.34870745350297705</v>
      </c>
      <c r="K36" s="6">
        <f t="shared" si="3"/>
        <v>0.34870745350297705</v>
      </c>
      <c r="L36" s="6">
        <f t="shared" si="3"/>
        <v>0.34870745350297705</v>
      </c>
    </row>
    <row r="37" spans="3:6" ht="12.75">
      <c r="C37" s="5">
        <f>(C12-C25)^2</f>
        <v>189.4730310320935</v>
      </c>
      <c r="D37" s="5">
        <f>(D12-D25)^2</f>
        <v>201.9230378241067</v>
      </c>
      <c r="E37" s="5">
        <f>(E12-E25)^2</f>
        <v>405.3861277710169</v>
      </c>
      <c r="F37" s="5">
        <f>(F12-F25)^2</f>
        <v>53.92187602210102</v>
      </c>
    </row>
    <row r="38" spans="3:9" ht="12.75">
      <c r="C38" s="5">
        <f>(C13-C26)^2</f>
        <v>26.000209314971496</v>
      </c>
      <c r="D38" s="5"/>
      <c r="E38" s="5"/>
      <c r="F38" s="5"/>
      <c r="I38" s="1" t="s">
        <v>26</v>
      </c>
    </row>
    <row r="39" spans="3:6" ht="12.75">
      <c r="C39" s="5">
        <f>(C14-C27)^2</f>
        <v>195.0307695295363</v>
      </c>
      <c r="D39" s="5">
        <f>(D14-D27)^2</f>
        <v>42.404813202068475</v>
      </c>
      <c r="E39" s="5"/>
      <c r="F39" s="5"/>
    </row>
    <row r="40" spans="8:12" ht="12.75">
      <c r="H40" s="3" t="s">
        <v>2</v>
      </c>
      <c r="I40" s="3" t="s">
        <v>3</v>
      </c>
      <c r="J40" s="3" t="s">
        <v>4</v>
      </c>
      <c r="K40" s="3" t="s">
        <v>1</v>
      </c>
      <c r="L40" s="3" t="s">
        <v>5</v>
      </c>
    </row>
    <row r="41" spans="1:12" ht="12.75">
      <c r="A41" s="1" t="s">
        <v>10</v>
      </c>
      <c r="H41" s="3">
        <v>2</v>
      </c>
      <c r="I41" s="5">
        <f aca="true" t="shared" si="5" ref="I41:L49">I$18*EXP(-I28)</f>
        <v>244.0355495238283</v>
      </c>
      <c r="J41" s="5">
        <f t="shared" si="5"/>
        <v>210.97140340189299</v>
      </c>
      <c r="K41" s="5">
        <f t="shared" si="5"/>
        <v>352.07729727472014</v>
      </c>
      <c r="L41" s="5">
        <f t="shared" si="5"/>
        <v>173.96053607808477</v>
      </c>
    </row>
    <row r="42" spans="8:12" ht="12.75">
      <c r="H42" s="3">
        <v>3</v>
      </c>
      <c r="I42" s="5">
        <f t="shared" si="5"/>
        <v>298.88128771653686</v>
      </c>
      <c r="J42" s="5">
        <f t="shared" si="5"/>
        <v>258.38614432675445</v>
      </c>
      <c r="K42" s="5">
        <f t="shared" si="5"/>
        <v>431.20486417062534</v>
      </c>
      <c r="L42" s="5">
        <f t="shared" si="5"/>
        <v>213.05727438616583</v>
      </c>
    </row>
    <row r="43" spans="1:12" ht="15.75">
      <c r="A43" s="3" t="s">
        <v>2</v>
      </c>
      <c r="B43" s="3" t="s">
        <v>6</v>
      </c>
      <c r="C43" s="3" t="s">
        <v>3</v>
      </c>
      <c r="D43" s="3" t="s">
        <v>4</v>
      </c>
      <c r="E43" s="3" t="s">
        <v>1</v>
      </c>
      <c r="F43" s="3" t="s">
        <v>5</v>
      </c>
      <c r="H43" s="3">
        <v>4</v>
      </c>
      <c r="I43" s="5">
        <f t="shared" si="5"/>
        <v>345.11838383776904</v>
      </c>
      <c r="J43" s="5">
        <f t="shared" si="5"/>
        <v>298.3586199638424</v>
      </c>
      <c r="K43" s="5">
        <f t="shared" si="5"/>
        <v>497.9124888095731</v>
      </c>
      <c r="L43" s="5">
        <f t="shared" si="5"/>
        <v>246.01734943932158</v>
      </c>
    </row>
    <row r="44" spans="1:12" ht="12.75">
      <c r="A44" s="3">
        <v>2</v>
      </c>
      <c r="B44" s="4">
        <f>LOG(A44,2)</f>
        <v>1</v>
      </c>
      <c r="C44" s="5">
        <f aca="true" t="shared" si="6" ref="C44:F48">$M54*I54+(1-$M54)*I67</f>
        <v>309.9997566406083</v>
      </c>
      <c r="D44" s="5">
        <f t="shared" si="6"/>
        <v>253.76562776994</v>
      </c>
      <c r="E44" s="5">
        <f t="shared" si="6"/>
        <v>331.9916072787813</v>
      </c>
      <c r="F44" s="5">
        <f t="shared" si="6"/>
        <v>497.37388429464136</v>
      </c>
      <c r="H44" s="3">
        <v>5</v>
      </c>
      <c r="I44" s="5">
        <f t="shared" si="5"/>
        <v>385.85408327305817</v>
      </c>
      <c r="J44" s="5">
        <f t="shared" si="5"/>
        <v>333.5750779560887</v>
      </c>
      <c r="K44" s="5">
        <f t="shared" si="5"/>
        <v>556.6830859121544</v>
      </c>
      <c r="L44" s="5">
        <f t="shared" si="5"/>
        <v>275.0557584953214</v>
      </c>
    </row>
    <row r="45" spans="1:12" ht="12.75">
      <c r="A45" s="3">
        <v>3</v>
      </c>
      <c r="B45" s="4">
        <f aca="true" t="shared" si="7" ref="B45:B52">LOG(A45,2)</f>
        <v>1.5849625007211563</v>
      </c>
      <c r="C45" s="5">
        <f t="shared" si="6"/>
        <v>384.31201691243655</v>
      </c>
      <c r="D45" s="5">
        <f t="shared" si="6"/>
        <v>316.88031462007984</v>
      </c>
      <c r="E45" s="5">
        <f t="shared" si="6"/>
        <v>442.8935135855194</v>
      </c>
      <c r="F45" s="5">
        <f t="shared" si="6"/>
        <v>547.9543928015586</v>
      </c>
      <c r="H45" s="3">
        <v>6</v>
      </c>
      <c r="I45" s="5">
        <f t="shared" si="5"/>
        <v>422.6819706282615</v>
      </c>
      <c r="J45" s="5">
        <f t="shared" si="5"/>
        <v>365.41318963618806</v>
      </c>
      <c r="K45" s="5">
        <f t="shared" si="5"/>
        <v>609.8157670713466</v>
      </c>
      <c r="L45" s="5">
        <f t="shared" si="5"/>
        <v>301.3084869991615</v>
      </c>
    </row>
    <row r="46" spans="1:12" ht="12.75">
      <c r="A46" s="3">
        <v>4</v>
      </c>
      <c r="B46" s="4">
        <f t="shared" si="7"/>
        <v>2</v>
      </c>
      <c r="C46" s="5">
        <f t="shared" si="6"/>
        <v>438.0215793456456</v>
      </c>
      <c r="D46" s="5">
        <f t="shared" si="6"/>
        <v>362.74828143462247</v>
      </c>
      <c r="E46" s="5">
        <f t="shared" si="6"/>
        <v>522.226592581716</v>
      </c>
      <c r="F46" s="5">
        <f t="shared" si="6"/>
        <v>585.0447473354417</v>
      </c>
      <c r="H46" s="3">
        <v>7</v>
      </c>
      <c r="I46" s="5">
        <f t="shared" si="5"/>
        <v>456.5487082556351</v>
      </c>
      <c r="J46" s="5">
        <f t="shared" si="5"/>
        <v>394.69135496837896</v>
      </c>
      <c r="K46" s="5">
        <f t="shared" si="5"/>
        <v>658.6763100316807</v>
      </c>
      <c r="L46" s="5">
        <f t="shared" si="5"/>
        <v>325.45036241186034</v>
      </c>
    </row>
    <row r="47" spans="1:12" ht="12.75">
      <c r="A47" s="3">
        <v>5</v>
      </c>
      <c r="B47" s="4">
        <f t="shared" si="7"/>
        <v>2.321928094887362</v>
      </c>
      <c r="C47" s="5">
        <f t="shared" si="6"/>
        <v>482.393014439873</v>
      </c>
      <c r="D47" s="5">
        <f t="shared" si="6"/>
        <v>400.7691500563655</v>
      </c>
      <c r="E47" s="5">
        <f t="shared" si="6"/>
        <v>587.3493967984095</v>
      </c>
      <c r="F47" s="5">
        <f t="shared" si="6"/>
        <v>615.9570103915863</v>
      </c>
      <c r="H47" s="3">
        <v>8</v>
      </c>
      <c r="I47" s="5">
        <f t="shared" si="5"/>
        <v>488.0710990476565</v>
      </c>
      <c r="J47" s="5">
        <f t="shared" si="5"/>
        <v>421.9428068037859</v>
      </c>
      <c r="K47" s="5">
        <f t="shared" si="5"/>
        <v>704.1545945494402</v>
      </c>
      <c r="L47" s="5">
        <f t="shared" si="5"/>
        <v>347.9210721561695</v>
      </c>
    </row>
    <row r="48" spans="1:12" ht="12.75">
      <c r="A48" s="3">
        <v>6</v>
      </c>
      <c r="B48" s="4">
        <f t="shared" si="7"/>
        <v>2.584962500721156</v>
      </c>
      <c r="C48" s="5">
        <f t="shared" si="6"/>
        <v>521.2472326085469</v>
      </c>
      <c r="D48" s="5">
        <f t="shared" si="6"/>
        <v>434.1332318092587</v>
      </c>
      <c r="E48" s="5">
        <f t="shared" si="6"/>
        <v>644.1434078643283</v>
      </c>
      <c r="F48" s="5">
        <f t="shared" si="6"/>
        <v>643.1756223741515</v>
      </c>
      <c r="H48" s="3">
        <v>9</v>
      </c>
      <c r="I48" s="5">
        <f t="shared" si="5"/>
        <v>517.6775757566537</v>
      </c>
      <c r="J48" s="5">
        <f t="shared" si="5"/>
        <v>447.5379299457636</v>
      </c>
      <c r="K48" s="5">
        <f t="shared" si="5"/>
        <v>746.8687332143598</v>
      </c>
      <c r="L48" s="5">
        <f t="shared" si="5"/>
        <v>369.02602415898247</v>
      </c>
    </row>
    <row r="49" spans="1:12" ht="12.75">
      <c r="A49" s="3">
        <v>7</v>
      </c>
      <c r="B49" s="4">
        <f t="shared" si="7"/>
        <v>2.807354922057604</v>
      </c>
      <c r="C49" s="5">
        <f>$M59*I59+(1-$M59)*I72</f>
        <v>556.3473393195837</v>
      </c>
      <c r="D49" s="5"/>
      <c r="E49" s="5">
        <f>$M59*K59+(1-$M59)*K72</f>
        <v>695.3104278231632</v>
      </c>
      <c r="F49" s="5">
        <f>$M59*L59+(1-$M59)*L72</f>
        <v>667.8548576599409</v>
      </c>
      <c r="H49" s="3">
        <v>10</v>
      </c>
      <c r="I49" s="5">
        <f t="shared" si="5"/>
        <v>545.6800776617965</v>
      </c>
      <c r="J49" s="5">
        <f t="shared" si="5"/>
        <v>471.7463993151631</v>
      </c>
      <c r="K49" s="5">
        <f t="shared" si="5"/>
        <v>787.2687700406757</v>
      </c>
      <c r="L49" s="5">
        <f t="shared" si="5"/>
        <v>388.9875840729022</v>
      </c>
    </row>
    <row r="50" spans="1:6" ht="12.75">
      <c r="A50" s="3">
        <v>8</v>
      </c>
      <c r="B50" s="4">
        <f t="shared" si="7"/>
        <v>3</v>
      </c>
      <c r="C50" s="5">
        <f>$M60*I60+(1-$M60)*I73</f>
        <v>588.6680826227739</v>
      </c>
      <c r="D50" s="5">
        <f>$M60*J60+(1-$M60)*J73</f>
        <v>492.137025665997</v>
      </c>
      <c r="E50" s="5">
        <f>$M60*K60+(1-$M60)*K73</f>
        <v>742.3358133323463</v>
      </c>
      <c r="F50" s="5">
        <f>$M60*L60+(1-$M60)*L73</f>
        <v>690.638287639807</v>
      </c>
    </row>
    <row r="51" spans="1:9" ht="12.75">
      <c r="A51" s="3">
        <v>9</v>
      </c>
      <c r="B51" s="4">
        <f t="shared" si="7"/>
        <v>3.1699250014423126</v>
      </c>
      <c r="C51" s="5">
        <f>$M61*I61+(1-$M61)*I74</f>
        <v>618.8151446277652</v>
      </c>
      <c r="D51" s="5"/>
      <c r="E51" s="5"/>
      <c r="F51" s="5"/>
      <c r="I51" s="1" t="s">
        <v>27</v>
      </c>
    </row>
    <row r="52" spans="1:6" ht="12.75">
      <c r="A52" s="3">
        <v>10</v>
      </c>
      <c r="B52" s="4">
        <f t="shared" si="7"/>
        <v>3.3219280948873626</v>
      </c>
      <c r="C52" s="5">
        <f>$M62*I62+(1-$M62)*I75</f>
        <v>647.1963713829157</v>
      </c>
      <c r="D52" s="5">
        <f>$M62*J62+(1-$M62)*J75</f>
        <v>542.5660105405318</v>
      </c>
      <c r="E52" s="5"/>
      <c r="F52" s="5"/>
    </row>
    <row r="53" spans="8:13" ht="15.75">
      <c r="H53" s="3" t="s">
        <v>2</v>
      </c>
      <c r="I53" s="3" t="s">
        <v>3</v>
      </c>
      <c r="J53" s="3" t="s">
        <v>4</v>
      </c>
      <c r="K53" s="3" t="s">
        <v>1</v>
      </c>
      <c r="L53" s="3" t="s">
        <v>5</v>
      </c>
      <c r="M53" s="3" t="s">
        <v>24</v>
      </c>
    </row>
    <row r="54" spans="1:13" ht="12.75">
      <c r="A54" s="1" t="s">
        <v>8</v>
      </c>
      <c r="H54" s="3">
        <v>2</v>
      </c>
      <c r="I54" s="5">
        <f aca="true" t="shared" si="8" ref="I54:L62">$M54*(I$17+I$19)+(1-$M54)*(I41+I$19)</f>
        <v>248.99086925965122</v>
      </c>
      <c r="J54" s="5">
        <f t="shared" si="8"/>
        <v>201.02277691946676</v>
      </c>
      <c r="K54" s="5">
        <f t="shared" si="8"/>
        <v>243.9722829601013</v>
      </c>
      <c r="L54" s="5">
        <f t="shared" si="8"/>
        <v>453.8837502751202</v>
      </c>
      <c r="M54" s="6">
        <f>1/H54</f>
        <v>0.5</v>
      </c>
    </row>
    <row r="55" spans="8:13" ht="12.75">
      <c r="H55" s="3">
        <v>3</v>
      </c>
      <c r="I55" s="5">
        <f t="shared" si="8"/>
        <v>317.8939529754283</v>
      </c>
      <c r="J55" s="5">
        <f t="shared" si="8"/>
        <v>259.4611714363566</v>
      </c>
      <c r="K55" s="5">
        <f t="shared" si="8"/>
        <v>347.0702104364915</v>
      </c>
      <c r="L55" s="5">
        <f t="shared" si="8"/>
        <v>500.608331826855</v>
      </c>
      <c r="M55" s="6">
        <f aca="true" t="shared" si="9" ref="M55:M62">1/H55</f>
        <v>0.3333333333333333</v>
      </c>
    </row>
    <row r="56" spans="3:13" ht="12.75">
      <c r="C56" s="5">
        <f aca="true" t="shared" si="10" ref="C56:F60">(C6-C44)^2</f>
        <v>36.00292037192389</v>
      </c>
      <c r="D56" s="5">
        <f t="shared" si="10"/>
        <v>67.80488602318312</v>
      </c>
      <c r="E56" s="5">
        <f t="shared" si="10"/>
        <v>38.95766142253591</v>
      </c>
      <c r="F56" s="5">
        <f t="shared" si="10"/>
        <v>6.896483697931323</v>
      </c>
      <c r="H56" s="3">
        <v>4</v>
      </c>
      <c r="I56" s="5">
        <f t="shared" si="8"/>
        <v>373.31188237606386</v>
      </c>
      <c r="J56" s="5">
        <f t="shared" si="8"/>
        <v>306.806040191402</v>
      </c>
      <c r="K56" s="5">
        <f t="shared" si="8"/>
        <v>428.86800092992104</v>
      </c>
      <c r="L56" s="5">
        <f t="shared" si="8"/>
        <v>538.9164943155689</v>
      </c>
      <c r="M56" s="6">
        <f t="shared" si="9"/>
        <v>0.25</v>
      </c>
    </row>
    <row r="57" spans="3:13" ht="12.75">
      <c r="C57" s="5">
        <f t="shared" si="10"/>
        <v>412.5780310511083</v>
      </c>
      <c r="D57" s="5">
        <f t="shared" si="10"/>
        <v>62.09935851144413</v>
      </c>
      <c r="E57" s="5">
        <f t="shared" si="10"/>
        <v>31.432689915755848</v>
      </c>
      <c r="F57" s="5">
        <f t="shared" si="10"/>
        <v>223.6338640633072</v>
      </c>
      <c r="H57" s="3">
        <v>5</v>
      </c>
      <c r="I57" s="5">
        <f t="shared" si="8"/>
        <v>420.65636111618363</v>
      </c>
      <c r="J57" s="5">
        <f t="shared" si="8"/>
        <v>347.39713758339127</v>
      </c>
      <c r="K57" s="5">
        <f t="shared" si="8"/>
        <v>498.2801030524648</v>
      </c>
      <c r="L57" s="5">
        <f t="shared" si="8"/>
        <v>571.9480890323349</v>
      </c>
      <c r="M57" s="6">
        <f t="shared" si="9"/>
        <v>0.2</v>
      </c>
    </row>
    <row r="58" spans="3:13" ht="12.75">
      <c r="C58" s="5">
        <f t="shared" si="10"/>
        <v>16.17310043332322</v>
      </c>
      <c r="D58" s="5">
        <f t="shared" si="10"/>
        <v>14.049613713135482</v>
      </c>
      <c r="E58" s="5">
        <f t="shared" si="10"/>
        <v>419.2908437575858</v>
      </c>
      <c r="F58" s="5">
        <f t="shared" si="10"/>
        <v>120.01756094431208</v>
      </c>
      <c r="H58" s="3">
        <v>6</v>
      </c>
      <c r="I58" s="5">
        <f t="shared" si="8"/>
        <v>462.5414033546217</v>
      </c>
      <c r="J58" s="5">
        <f t="shared" si="8"/>
        <v>383.38139991534365</v>
      </c>
      <c r="K58" s="5">
        <f t="shared" si="8"/>
        <v>559.4467735488635</v>
      </c>
      <c r="L58" s="5">
        <f t="shared" si="8"/>
        <v>601.3272214020457</v>
      </c>
      <c r="M58" s="6">
        <f t="shared" si="9"/>
        <v>0.16666666666666666</v>
      </c>
    </row>
    <row r="59" spans="3:13" ht="12.75">
      <c r="C59" s="5">
        <f t="shared" si="10"/>
        <v>21.224315951218564</v>
      </c>
      <c r="D59" s="5">
        <f t="shared" si="10"/>
        <v>0.591591809207058</v>
      </c>
      <c r="E59" s="5">
        <f t="shared" si="10"/>
        <v>200.23957096886207</v>
      </c>
      <c r="F59" s="5">
        <f t="shared" si="10"/>
        <v>0.915868889604207</v>
      </c>
      <c r="H59" s="3">
        <v>7</v>
      </c>
      <c r="I59" s="5">
        <f t="shared" si="8"/>
        <v>500.44341585971006</v>
      </c>
      <c r="J59" s="5">
        <f t="shared" si="8"/>
        <v>415.9868080485594</v>
      </c>
      <c r="K59" s="5">
        <f t="shared" si="8"/>
        <v>614.6561857784676</v>
      </c>
      <c r="L59" s="5">
        <f t="shared" si="8"/>
        <v>628.0037928748152</v>
      </c>
      <c r="M59" s="6">
        <f t="shared" si="9"/>
        <v>0.14285714285714285</v>
      </c>
    </row>
    <row r="60" spans="3:13" ht="12.75">
      <c r="C60" s="5">
        <f t="shared" si="10"/>
        <v>115.6220065746963</v>
      </c>
      <c r="D60" s="5">
        <f t="shared" si="10"/>
        <v>26.35006880758523</v>
      </c>
      <c r="E60" s="5">
        <f t="shared" si="10"/>
        <v>921.5226860915243</v>
      </c>
      <c r="F60" s="5">
        <f t="shared" si="10"/>
        <v>77.86964048357483</v>
      </c>
      <c r="H60" s="3">
        <v>8</v>
      </c>
      <c r="I60" s="5">
        <f t="shared" si="8"/>
        <v>535.2853061644365</v>
      </c>
      <c r="J60" s="5">
        <f t="shared" si="8"/>
        <v>445.98703117183294</v>
      </c>
      <c r="K60" s="5">
        <f t="shared" si="8"/>
        <v>665.3189045535014</v>
      </c>
      <c r="L60" s="5">
        <f t="shared" si="8"/>
        <v>652.5844203727261</v>
      </c>
      <c r="M60" s="6">
        <f t="shared" si="9"/>
        <v>0.125</v>
      </c>
    </row>
    <row r="61" spans="3:13" ht="12.75">
      <c r="C61" s="5">
        <f>(C11-C49)^2</f>
        <v>186.39514365458422</v>
      </c>
      <c r="D61" s="5"/>
      <c r="E61" s="5">
        <f>(E11-E49)^2</f>
        <v>35.2785176438539</v>
      </c>
      <c r="F61" s="5">
        <f>(F11-F49)^2</f>
        <v>37.76277437958733</v>
      </c>
      <c r="H61" s="3">
        <v>9</v>
      </c>
      <c r="I61" s="5">
        <f t="shared" si="8"/>
        <v>567.686495170318</v>
      </c>
      <c r="J61" s="5">
        <f t="shared" si="8"/>
        <v>473.90412405919903</v>
      </c>
      <c r="K61" s="5">
        <f t="shared" si="8"/>
        <v>712.3725082910611</v>
      </c>
      <c r="L61" s="5">
        <f t="shared" si="8"/>
        <v>675.4821703773955</v>
      </c>
      <c r="M61" s="6">
        <f t="shared" si="9"/>
        <v>0.1111111111111111</v>
      </c>
    </row>
    <row r="62" spans="3:13" ht="12.75">
      <c r="C62" s="5">
        <f>(C12-C50)^2</f>
        <v>205.4038557076352</v>
      </c>
      <c r="D62" s="5">
        <f>(D12-D50)^2</f>
        <v>192.18205738522627</v>
      </c>
      <c r="E62" s="5">
        <f>(E12-E50)^2</f>
        <v>860.5899438702689</v>
      </c>
      <c r="F62" s="5">
        <f>(F12-F50)^2</f>
        <v>159.72631446649848</v>
      </c>
      <c r="H62" s="3">
        <v>10</v>
      </c>
      <c r="I62" s="5">
        <f t="shared" si="8"/>
        <v>598.0851643933539</v>
      </c>
      <c r="J62" s="5">
        <f t="shared" si="8"/>
        <v>500.10883460216706</v>
      </c>
      <c r="K62" s="5">
        <f t="shared" si="8"/>
        <v>756.4755273593494</v>
      </c>
      <c r="L62" s="5">
        <f t="shared" si="8"/>
        <v>696.9923079016899</v>
      </c>
      <c r="M62" s="6">
        <f t="shared" si="9"/>
        <v>0.1</v>
      </c>
    </row>
    <row r="63" spans="3:6" ht="12.75">
      <c r="C63" s="5">
        <f>(C13-C51)^2</f>
        <v>0.034171508644058615</v>
      </c>
      <c r="D63" s="5"/>
      <c r="E63" s="5"/>
      <c r="F63" s="5"/>
    </row>
    <row r="64" spans="3:9" ht="12.75">
      <c r="C64" s="5">
        <f>(C14-C52)^2</f>
        <v>634.8571308658126</v>
      </c>
      <c r="D64" s="5">
        <f>(D14-D52)^2</f>
        <v>20.84845225624756</v>
      </c>
      <c r="E64" s="5"/>
      <c r="F64" s="5"/>
      <c r="I64" s="1" t="s">
        <v>28</v>
      </c>
    </row>
    <row r="66" spans="8:12" ht="12.75">
      <c r="H66" s="3" t="s">
        <v>2</v>
      </c>
      <c r="I66" s="3" t="s">
        <v>3</v>
      </c>
      <c r="J66" s="3" t="s">
        <v>4</v>
      </c>
      <c r="K66" s="3" t="s">
        <v>1</v>
      </c>
      <c r="L66" s="3" t="s">
        <v>5</v>
      </c>
    </row>
    <row r="67" spans="8:12" ht="12.75">
      <c r="H67" s="3">
        <v>2</v>
      </c>
      <c r="I67" s="5">
        <f aca="true" t="shared" si="11" ref="I67:L75">$M54*(I$17+I$19+I41)+(1-$M54)*(I$19+I41)</f>
        <v>371.0086440215654</v>
      </c>
      <c r="J67" s="5">
        <f t="shared" si="11"/>
        <v>306.50847862041326</v>
      </c>
      <c r="K67" s="5">
        <f t="shared" si="11"/>
        <v>420.01093159746137</v>
      </c>
      <c r="L67" s="5">
        <f t="shared" si="11"/>
        <v>540.8640183141625</v>
      </c>
    </row>
    <row r="68" spans="8:12" ht="12.75">
      <c r="H68" s="3">
        <v>3</v>
      </c>
      <c r="I68" s="5">
        <f t="shared" si="11"/>
        <v>417.5210488809406</v>
      </c>
      <c r="J68" s="5">
        <f t="shared" si="11"/>
        <v>345.5898862119414</v>
      </c>
      <c r="K68" s="5">
        <f t="shared" si="11"/>
        <v>490.80516516003325</v>
      </c>
      <c r="L68" s="5">
        <f t="shared" si="11"/>
        <v>571.6274232889103</v>
      </c>
    </row>
    <row r="69" spans="8:12" ht="12.75">
      <c r="H69" s="3">
        <v>4</v>
      </c>
      <c r="I69" s="5">
        <f t="shared" si="11"/>
        <v>459.5914783355061</v>
      </c>
      <c r="J69" s="5">
        <f t="shared" si="11"/>
        <v>381.39569518236266</v>
      </c>
      <c r="K69" s="5">
        <f t="shared" si="11"/>
        <v>553.3461231323143</v>
      </c>
      <c r="L69" s="5">
        <f t="shared" si="11"/>
        <v>600.4208316753993</v>
      </c>
    </row>
    <row r="70" spans="8:12" ht="12.75">
      <c r="H70" s="3">
        <v>5</v>
      </c>
      <c r="I70" s="5">
        <f t="shared" si="11"/>
        <v>497.8271777707953</v>
      </c>
      <c r="J70" s="5">
        <f t="shared" si="11"/>
        <v>414.11215317460903</v>
      </c>
      <c r="K70" s="5">
        <f t="shared" si="11"/>
        <v>609.6167202348956</v>
      </c>
      <c r="L70" s="5">
        <f t="shared" si="11"/>
        <v>626.9592407313992</v>
      </c>
    </row>
    <row r="71" spans="8:12" ht="12.75">
      <c r="H71" s="3">
        <v>6</v>
      </c>
      <c r="I71" s="5">
        <f t="shared" si="11"/>
        <v>532.988398459332</v>
      </c>
      <c r="J71" s="5">
        <f t="shared" si="11"/>
        <v>444.28359818804165</v>
      </c>
      <c r="K71" s="5">
        <f t="shared" si="11"/>
        <v>661.0827347274212</v>
      </c>
      <c r="L71" s="5">
        <f t="shared" si="11"/>
        <v>651.5453025685727</v>
      </c>
    </row>
    <row r="72" spans="8:12" ht="12.75">
      <c r="H72" s="3">
        <v>7</v>
      </c>
      <c r="I72" s="5">
        <f t="shared" si="11"/>
        <v>565.6646598962293</v>
      </c>
      <c r="J72" s="5">
        <f t="shared" si="11"/>
        <v>472.3712873297564</v>
      </c>
      <c r="K72" s="5">
        <f t="shared" si="11"/>
        <v>708.7528014972792</v>
      </c>
      <c r="L72" s="5">
        <f t="shared" si="11"/>
        <v>674.4967017907952</v>
      </c>
    </row>
    <row r="73" spans="8:12" ht="12.75">
      <c r="H73" s="3">
        <v>8</v>
      </c>
      <c r="I73" s="5">
        <f t="shared" si="11"/>
        <v>596.2941935453936</v>
      </c>
      <c r="J73" s="5">
        <f t="shared" si="11"/>
        <v>498.7298820223061</v>
      </c>
      <c r="K73" s="5">
        <f t="shared" si="11"/>
        <v>753.3382288721814</v>
      </c>
      <c r="L73" s="5">
        <f t="shared" si="11"/>
        <v>696.0745543922473</v>
      </c>
    </row>
    <row r="74" spans="8:12" ht="12.75">
      <c r="H74" s="3">
        <v>9</v>
      </c>
      <c r="I74" s="5">
        <f t="shared" si="11"/>
        <v>625.2062258099462</v>
      </c>
      <c r="J74" s="5">
        <f t="shared" si="11"/>
        <v>523.6305607198394</v>
      </c>
      <c r="K74" s="5">
        <f t="shared" si="11"/>
        <v>795.3579230926566</v>
      </c>
      <c r="L74" s="5">
        <f t="shared" si="11"/>
        <v>716.4850619506158</v>
      </c>
    </row>
    <row r="75" spans="8:12" ht="12.75">
      <c r="H75" s="3">
        <v>10</v>
      </c>
      <c r="I75" s="5">
        <f t="shared" si="11"/>
        <v>652.6531721595336</v>
      </c>
      <c r="J75" s="5">
        <f t="shared" si="11"/>
        <v>547.2834745336834</v>
      </c>
      <c r="K75" s="5">
        <f t="shared" si="11"/>
        <v>835.202404363417</v>
      </c>
      <c r="L75" s="5">
        <f t="shared" si="11"/>
        <v>735.89106630898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">
      <selection activeCell="I1" sqref="I1"/>
    </sheetView>
  </sheetViews>
  <sheetFormatPr defaultColWidth="9.140625" defaultRowHeight="12.75"/>
  <cols>
    <col min="1" max="1" width="6.421875" style="0" customWidth="1"/>
    <col min="2" max="7" width="8.140625" style="0" customWidth="1"/>
    <col min="8" max="8" width="5.421875" style="0" customWidth="1"/>
    <col min="9" max="9" width="9.00390625" style="0" customWidth="1"/>
    <col min="10" max="14" width="8.421875" style="0" customWidth="1"/>
  </cols>
  <sheetData>
    <row r="1" ht="12.75">
      <c r="A1" s="1" t="s">
        <v>39</v>
      </c>
    </row>
    <row r="3" spans="1:14" ht="12.75">
      <c r="A3" s="2" t="s">
        <v>30</v>
      </c>
      <c r="B3" s="3"/>
      <c r="C3" s="3"/>
      <c r="D3" s="3"/>
      <c r="E3" s="3"/>
      <c r="F3" s="3"/>
      <c r="G3" s="3"/>
      <c r="I3" s="1" t="s">
        <v>16</v>
      </c>
      <c r="J3" s="9"/>
      <c r="K3" s="9"/>
      <c r="L3" s="9"/>
      <c r="M3" s="9"/>
      <c r="N3" s="9"/>
    </row>
    <row r="4" spans="9:14" ht="12.75">
      <c r="I4" s="9"/>
      <c r="J4" s="10"/>
      <c r="K4" s="10"/>
      <c r="L4" s="10"/>
      <c r="M4" s="10"/>
      <c r="N4" s="9"/>
    </row>
    <row r="5" spans="3:14" ht="12.75">
      <c r="C5" t="s">
        <v>31</v>
      </c>
      <c r="I5" t="s">
        <v>17</v>
      </c>
      <c r="J5" s="17">
        <v>1</v>
      </c>
      <c r="K5" s="11"/>
      <c r="L5" s="19"/>
      <c r="M5" s="20"/>
      <c r="N5" s="9"/>
    </row>
    <row r="6" spans="1:14" ht="15.75">
      <c r="A6" s="3" t="s">
        <v>2</v>
      </c>
      <c r="B6" s="3" t="s">
        <v>6</v>
      </c>
      <c r="C6" s="3">
        <v>1000</v>
      </c>
      <c r="D6" s="3">
        <v>2000</v>
      </c>
      <c r="E6" s="3">
        <v>3000</v>
      </c>
      <c r="F6" s="3">
        <v>4000</v>
      </c>
      <c r="G6" s="3">
        <v>5000</v>
      </c>
      <c r="I6" t="s">
        <v>20</v>
      </c>
      <c r="J6" s="17">
        <v>0.5</v>
      </c>
      <c r="K6" s="11"/>
      <c r="L6" s="19"/>
      <c r="M6" s="20"/>
      <c r="N6" s="9"/>
    </row>
    <row r="7" spans="1:14" ht="12.75">
      <c r="A7" s="3">
        <v>2</v>
      </c>
      <c r="B7" s="4">
        <f>LOG(A7,2)</f>
        <v>1</v>
      </c>
      <c r="C7" s="3">
        <v>458</v>
      </c>
      <c r="D7" s="3">
        <v>417</v>
      </c>
      <c r="E7" s="5">
        <v>396</v>
      </c>
      <c r="F7" s="3">
        <v>392</v>
      </c>
      <c r="G7" s="3">
        <v>383</v>
      </c>
      <c r="I7" t="s">
        <v>18</v>
      </c>
      <c r="J7" s="17">
        <v>1.5</v>
      </c>
      <c r="K7" s="11"/>
      <c r="L7" s="11"/>
      <c r="M7" s="11"/>
      <c r="N7" s="11"/>
    </row>
    <row r="8" spans="1:14" ht="15.75">
      <c r="A8" s="3">
        <v>4</v>
      </c>
      <c r="B8" s="4">
        <f>LOG(A8,2)</f>
        <v>2</v>
      </c>
      <c r="C8" s="3">
        <v>663</v>
      </c>
      <c r="D8" s="3">
        <v>583</v>
      </c>
      <c r="E8" s="5">
        <v>533</v>
      </c>
      <c r="F8" s="3">
        <v>513</v>
      </c>
      <c r="G8" s="3">
        <v>500</v>
      </c>
      <c r="I8" t="s">
        <v>21</v>
      </c>
      <c r="J8" s="18">
        <v>50</v>
      </c>
      <c r="K8" s="12"/>
      <c r="L8" s="12"/>
      <c r="M8" s="12"/>
      <c r="N8" s="12"/>
    </row>
    <row r="9" spans="1:10" ht="12.75">
      <c r="A9" s="3">
        <v>8</v>
      </c>
      <c r="B9" s="4">
        <f>LOG(A9,2)</f>
        <v>3</v>
      </c>
      <c r="C9" s="3">
        <v>950</v>
      </c>
      <c r="D9" s="3">
        <v>813</v>
      </c>
      <c r="E9" s="5">
        <v>758</v>
      </c>
      <c r="F9" s="3">
        <v>721</v>
      </c>
      <c r="G9" s="3">
        <v>700</v>
      </c>
      <c r="I9" t="s">
        <v>19</v>
      </c>
      <c r="J9" s="18">
        <v>2686.621105745351</v>
      </c>
    </row>
    <row r="10" spans="1:10" ht="15.75">
      <c r="A10" s="3"/>
      <c r="B10" s="4"/>
      <c r="C10" s="3"/>
      <c r="D10" s="3"/>
      <c r="E10" s="5"/>
      <c r="F10" s="3"/>
      <c r="G10" s="3"/>
      <c r="I10" t="s">
        <v>22</v>
      </c>
      <c r="J10" s="18">
        <v>220.92089877680382</v>
      </c>
    </row>
    <row r="11" spans="1:13" ht="12.75">
      <c r="A11" s="2" t="s">
        <v>32</v>
      </c>
      <c r="B11" s="4"/>
      <c r="C11" s="3"/>
      <c r="D11" s="3"/>
      <c r="E11" s="5"/>
      <c r="F11" s="3"/>
      <c r="G11" s="3"/>
      <c r="I11" t="s">
        <v>33</v>
      </c>
      <c r="J11" s="21">
        <v>0.7993067148119907</v>
      </c>
      <c r="K11" s="3"/>
      <c r="L11" s="3"/>
      <c r="M11" s="3"/>
    </row>
    <row r="12" spans="9:13" ht="12.75">
      <c r="I12" t="s">
        <v>14</v>
      </c>
      <c r="J12" s="7">
        <f>SQRT(AVERAGE(C29:G31))</f>
        <v>5.131064059032144</v>
      </c>
      <c r="K12" s="4"/>
      <c r="L12" s="4"/>
      <c r="M12" s="4"/>
    </row>
    <row r="13" spans="3:13" ht="12.75">
      <c r="C13" t="s">
        <v>31</v>
      </c>
      <c r="I13" t="s">
        <v>15</v>
      </c>
      <c r="J13" s="16">
        <f>CORREL(C23:G25,C7:G9)</f>
        <v>0.9995365882112057</v>
      </c>
      <c r="K13" s="4"/>
      <c r="L13" s="4"/>
      <c r="M13" s="4"/>
    </row>
    <row r="14" spans="1:13" ht="15.75">
      <c r="A14" s="3" t="s">
        <v>2</v>
      </c>
      <c r="B14" s="3" t="s">
        <v>6</v>
      </c>
      <c r="C14" s="3">
        <v>1000</v>
      </c>
      <c r="D14" s="3">
        <v>2000</v>
      </c>
      <c r="E14" s="3">
        <v>3000</v>
      </c>
      <c r="F14" s="3">
        <v>4000</v>
      </c>
      <c r="G14" s="3">
        <v>5000</v>
      </c>
      <c r="K14" s="4"/>
      <c r="L14" s="4"/>
      <c r="M14" s="4"/>
    </row>
    <row r="15" spans="1:13" ht="12.75">
      <c r="A15" s="3">
        <v>2</v>
      </c>
      <c r="B15" s="4">
        <f>LOG(A15,2)</f>
        <v>1</v>
      </c>
      <c r="C15" s="5">
        <f>(C$14/2)/A15</f>
        <v>250</v>
      </c>
      <c r="D15" s="5">
        <f aca="true" t="shared" si="0" ref="D15:G17">(C$14/$A15)+$C15</f>
        <v>750</v>
      </c>
      <c r="E15" s="5">
        <f t="shared" si="0"/>
        <v>1250</v>
      </c>
      <c r="F15" s="5">
        <f t="shared" si="0"/>
        <v>1750</v>
      </c>
      <c r="G15" s="5">
        <f t="shared" si="0"/>
        <v>2250</v>
      </c>
      <c r="I15" s="1" t="s">
        <v>23</v>
      </c>
      <c r="K15" s="5"/>
      <c r="L15" s="5"/>
      <c r="M15" s="5"/>
    </row>
    <row r="16" spans="1:7" ht="12.75">
      <c r="A16" s="3">
        <v>4</v>
      </c>
      <c r="B16" s="4">
        <f>LOG(A16,2)</f>
        <v>2</v>
      </c>
      <c r="C16" s="5">
        <f>(C$14/2)/A16</f>
        <v>125</v>
      </c>
      <c r="D16" s="5">
        <f t="shared" si="0"/>
        <v>375</v>
      </c>
      <c r="E16" s="5">
        <f t="shared" si="0"/>
        <v>625</v>
      </c>
      <c r="F16" s="5">
        <f t="shared" si="0"/>
        <v>875</v>
      </c>
      <c r="G16" s="5">
        <f t="shared" si="0"/>
        <v>1125</v>
      </c>
    </row>
    <row r="17" spans="1:15" ht="12.75">
      <c r="A17" s="3">
        <v>8</v>
      </c>
      <c r="B17" s="4">
        <f>LOG(A17,2)</f>
        <v>3</v>
      </c>
      <c r="C17" s="5">
        <f>(C$14/2)/A17</f>
        <v>62.5</v>
      </c>
      <c r="D17" s="5">
        <f t="shared" si="0"/>
        <v>187.5</v>
      </c>
      <c r="E17" s="5">
        <f t="shared" si="0"/>
        <v>312.5</v>
      </c>
      <c r="F17" s="5">
        <f t="shared" si="0"/>
        <v>437.5</v>
      </c>
      <c r="G17" s="5">
        <f t="shared" si="0"/>
        <v>562.5</v>
      </c>
      <c r="J17" s="1" t="s">
        <v>34</v>
      </c>
      <c r="O17" s="3"/>
    </row>
    <row r="18" spans="1:7" ht="12.75">
      <c r="A18" s="10"/>
      <c r="B18" s="10"/>
      <c r="C18" s="10"/>
      <c r="D18" s="10"/>
      <c r="E18" s="10"/>
      <c r="F18" s="10"/>
      <c r="G18" s="10"/>
    </row>
    <row r="19" spans="1:14" ht="12.75">
      <c r="A19" s="1" t="s">
        <v>10</v>
      </c>
      <c r="B19" s="13"/>
      <c r="C19" s="11"/>
      <c r="D19" s="11"/>
      <c r="E19" s="11"/>
      <c r="F19" s="11"/>
      <c r="G19" s="11"/>
      <c r="I19" s="3" t="s">
        <v>2</v>
      </c>
      <c r="J19" s="3">
        <v>1000</v>
      </c>
      <c r="K19" s="3">
        <v>2000</v>
      </c>
      <c r="L19" s="3">
        <v>3000</v>
      </c>
      <c r="M19" s="3">
        <v>4000</v>
      </c>
      <c r="N19" s="3">
        <v>5000</v>
      </c>
    </row>
    <row r="20" spans="9:14" ht="12.75">
      <c r="I20" s="3">
        <v>2</v>
      </c>
      <c r="J20" s="6">
        <f aca="true" t="shared" si="1" ref="J20:N22">LN(C15)*(1-$J$11)</f>
        <v>1.1081201306429755</v>
      </c>
      <c r="K20" s="6">
        <f t="shared" si="1"/>
        <v>1.3286042400036961</v>
      </c>
      <c r="L20" s="6">
        <f t="shared" si="1"/>
        <v>1.4311235125955069</v>
      </c>
      <c r="M20" s="6">
        <f t="shared" si="1"/>
        <v>1.4986512311375753</v>
      </c>
      <c r="N20" s="6">
        <f t="shared" si="1"/>
        <v>1.5490883493644168</v>
      </c>
    </row>
    <row r="21" spans="3:15" ht="12.75">
      <c r="C21" t="s">
        <v>31</v>
      </c>
      <c r="I21" s="3">
        <v>4</v>
      </c>
      <c r="J21" s="6">
        <f t="shared" si="1"/>
        <v>0.9690101458575939</v>
      </c>
      <c r="K21" s="6">
        <f t="shared" si="1"/>
        <v>1.1894942552183143</v>
      </c>
      <c r="L21" s="6">
        <f t="shared" si="1"/>
        <v>1.292013527810125</v>
      </c>
      <c r="M21" s="6">
        <f t="shared" si="1"/>
        <v>1.3595412463521936</v>
      </c>
      <c r="N21" s="6">
        <f t="shared" si="1"/>
        <v>1.4099783645790351</v>
      </c>
      <c r="O21" s="3"/>
    </row>
    <row r="22" spans="1:14" ht="15.75">
      <c r="A22" s="3" t="s">
        <v>2</v>
      </c>
      <c r="B22" s="3" t="s">
        <v>6</v>
      </c>
      <c r="C22" s="3">
        <v>1000</v>
      </c>
      <c r="D22" s="3">
        <v>2000</v>
      </c>
      <c r="E22" s="3">
        <v>3000</v>
      </c>
      <c r="F22" s="3">
        <v>4000</v>
      </c>
      <c r="G22" s="3">
        <v>5000</v>
      </c>
      <c r="I22" s="3">
        <v>8</v>
      </c>
      <c r="J22" s="6">
        <f t="shared" si="1"/>
        <v>0.8299001610722122</v>
      </c>
      <c r="K22" s="6">
        <f t="shared" si="1"/>
        <v>1.0503842704329327</v>
      </c>
      <c r="L22" s="6">
        <f t="shared" si="1"/>
        <v>1.1529035430247436</v>
      </c>
      <c r="M22" s="6">
        <f t="shared" si="1"/>
        <v>1.2204312615668118</v>
      </c>
      <c r="N22" s="6">
        <f t="shared" si="1"/>
        <v>1.2708683797936533</v>
      </c>
    </row>
    <row r="23" spans="1:7" ht="12.75">
      <c r="A23" s="3">
        <v>2</v>
      </c>
      <c r="B23" s="4">
        <f>LOG(A23,2)</f>
        <v>1</v>
      </c>
      <c r="C23" s="5">
        <f aca="true" t="shared" si="2" ref="C23:G25">$O48*J48+(1-$O48)*J55</f>
        <v>455.85863145951896</v>
      </c>
      <c r="D23" s="5">
        <f t="shared" si="2"/>
        <v>414.3183331458514</v>
      </c>
      <c r="E23" s="5">
        <f t="shared" si="2"/>
        <v>397.90981426420353</v>
      </c>
      <c r="F23" s="5">
        <f t="shared" si="2"/>
        <v>387.98521343898483</v>
      </c>
      <c r="G23" s="5">
        <f t="shared" si="2"/>
        <v>380.9975976613034</v>
      </c>
    </row>
    <row r="24" spans="1:14" ht="12.75">
      <c r="A24" s="3">
        <v>4</v>
      </c>
      <c r="B24" s="4">
        <f>LOG(A24,2)</f>
        <v>2</v>
      </c>
      <c r="C24" s="5">
        <f t="shared" si="2"/>
        <v>659.9318749648553</v>
      </c>
      <c r="D24" s="5">
        <f t="shared" si="2"/>
        <v>575.5383123665491</v>
      </c>
      <c r="E24" s="5">
        <f t="shared" si="2"/>
        <v>542.2026498508992</v>
      </c>
      <c r="F24" s="5">
        <f t="shared" si="2"/>
        <v>522.0397609211699</v>
      </c>
      <c r="G24" s="5">
        <f t="shared" si="2"/>
        <v>507.8436714975019</v>
      </c>
      <c r="I24" s="9"/>
      <c r="J24" s="1" t="s">
        <v>25</v>
      </c>
      <c r="K24" s="9"/>
      <c r="L24" s="9"/>
      <c r="M24" s="9"/>
      <c r="N24" s="9"/>
    </row>
    <row r="25" spans="1:7" ht="12.75">
      <c r="A25" s="3">
        <v>8</v>
      </c>
      <c r="B25" s="4">
        <f>LOG(A25,2)</f>
        <v>3</v>
      </c>
      <c r="C25" s="5">
        <f t="shared" si="2"/>
        <v>955.0331692072596</v>
      </c>
      <c r="D25" s="5">
        <f t="shared" si="2"/>
        <v>811.0113420751142</v>
      </c>
      <c r="E25" s="5">
        <f t="shared" si="2"/>
        <v>754.1223700214468</v>
      </c>
      <c r="F25" s="5">
        <f t="shared" si="2"/>
        <v>719.7133936194914</v>
      </c>
      <c r="G25" s="5">
        <f t="shared" si="2"/>
        <v>695.4870584112058</v>
      </c>
    </row>
    <row r="26" spans="1:14" ht="12.75">
      <c r="A26" s="10"/>
      <c r="B26" s="13"/>
      <c r="C26" s="11"/>
      <c r="D26" s="11"/>
      <c r="E26" s="11"/>
      <c r="F26" s="11"/>
      <c r="G26" s="11"/>
      <c r="I26" s="3" t="s">
        <v>2</v>
      </c>
      <c r="J26" s="10"/>
      <c r="K26" s="10"/>
      <c r="L26" s="10"/>
      <c r="M26" s="10"/>
      <c r="N26" s="9"/>
    </row>
    <row r="27" spans="1:14" ht="12.75">
      <c r="A27" s="1" t="s">
        <v>8</v>
      </c>
      <c r="B27" s="13"/>
      <c r="C27" s="11"/>
      <c r="D27" s="11"/>
      <c r="E27" s="11"/>
      <c r="F27" s="11"/>
      <c r="G27" s="11"/>
      <c r="I27" s="3">
        <v>2</v>
      </c>
      <c r="J27" s="14">
        <f>($J$5*$J$6)*($J$7-LN($I27))+($J$5*(1-$J$6))*($J$7-LN(1))</f>
        <v>1.1534264097200273</v>
      </c>
      <c r="K27" s="14"/>
      <c r="L27" s="14"/>
      <c r="M27" s="14"/>
      <c r="N27" s="9"/>
    </row>
    <row r="28" spans="9:14" ht="12.75">
      <c r="I28" s="3">
        <v>4</v>
      </c>
      <c r="J28" s="14">
        <f>($J$5*$J$6)*($J$7-LN($I28))+($J$5*(1-$J$6))*($J$7-LN(1))</f>
        <v>0.8068528194400547</v>
      </c>
      <c r="K28" s="14"/>
      <c r="L28" s="14"/>
      <c r="M28" s="14"/>
      <c r="N28" s="9"/>
    </row>
    <row r="29" spans="1:14" ht="12.75">
      <c r="A29" s="10"/>
      <c r="B29" s="13"/>
      <c r="C29" s="11">
        <f aca="true" t="shared" si="3" ref="C29:G31">(C7-C23)^2</f>
        <v>4.585459226161897</v>
      </c>
      <c r="D29" s="11">
        <f t="shared" si="3"/>
        <v>7.191337116639262</v>
      </c>
      <c r="E29" s="11">
        <f t="shared" si="3"/>
        <v>3.647390523755281</v>
      </c>
      <c r="F29" s="11">
        <f t="shared" si="3"/>
        <v>16.118511130508026</v>
      </c>
      <c r="G29" s="11">
        <f t="shared" si="3"/>
        <v>4.009615126017548</v>
      </c>
      <c r="I29" s="3">
        <v>8</v>
      </c>
      <c r="J29" s="14">
        <f>($J$5*$J$6)*($J$7-LN($I29))+($J$5*(1-$J$6))*($J$7-LN(1))</f>
        <v>0.4602792291600821</v>
      </c>
      <c r="K29" s="14"/>
      <c r="L29" s="14"/>
      <c r="M29" s="14"/>
      <c r="N29" s="9"/>
    </row>
    <row r="30" spans="3:14" ht="12.75">
      <c r="C30" s="11">
        <f t="shared" si="3"/>
        <v>9.413391231281688</v>
      </c>
      <c r="D30" s="11">
        <f t="shared" si="3"/>
        <v>55.67678233919378</v>
      </c>
      <c r="E30" s="11">
        <f t="shared" si="3"/>
        <v>84.68876427825518</v>
      </c>
      <c r="F30" s="11">
        <f t="shared" si="3"/>
        <v>81.71727751191024</v>
      </c>
      <c r="G30" s="11">
        <f t="shared" si="3"/>
        <v>61.52318256072328</v>
      </c>
      <c r="I30" s="10"/>
      <c r="J30" s="14"/>
      <c r="K30" s="14"/>
      <c r="L30" s="14"/>
      <c r="M30" s="14"/>
      <c r="N30" s="9"/>
    </row>
    <row r="31" spans="1:14" ht="12.75">
      <c r="A31" s="9"/>
      <c r="B31" s="9"/>
      <c r="C31" s="11">
        <f t="shared" si="3"/>
        <v>25.332792268905845</v>
      </c>
      <c r="D31" s="11">
        <f t="shared" si="3"/>
        <v>3.954760342211265</v>
      </c>
      <c r="E31" s="11">
        <f t="shared" si="3"/>
        <v>15.036014250574173</v>
      </c>
      <c r="F31" s="11">
        <f t="shared" si="3"/>
        <v>1.6553559783654441</v>
      </c>
      <c r="G31" s="11">
        <f t="shared" si="3"/>
        <v>20.36664178386837</v>
      </c>
      <c r="I31" s="10"/>
      <c r="J31" s="15" t="s">
        <v>35</v>
      </c>
      <c r="K31" s="14"/>
      <c r="L31" s="14"/>
      <c r="M31" s="14"/>
      <c r="N31" s="9"/>
    </row>
    <row r="32" spans="1:7" ht="12.75">
      <c r="A32" s="9"/>
      <c r="B32" s="9"/>
      <c r="C32" s="11"/>
      <c r="D32" s="11"/>
      <c r="E32" s="11"/>
      <c r="F32" s="11"/>
      <c r="G32" s="11"/>
    </row>
    <row r="33" spans="1:14" ht="12.75">
      <c r="A33" s="9"/>
      <c r="B33" s="9"/>
      <c r="C33" s="11"/>
      <c r="D33" s="11"/>
      <c r="E33" s="11"/>
      <c r="F33" s="11"/>
      <c r="G33" s="11"/>
      <c r="I33" s="3" t="s">
        <v>2</v>
      </c>
      <c r="J33" s="3">
        <v>1000</v>
      </c>
      <c r="K33" s="3">
        <v>2000</v>
      </c>
      <c r="L33" s="3">
        <v>3000</v>
      </c>
      <c r="M33" s="3">
        <v>4000</v>
      </c>
      <c r="N33" s="3">
        <v>5000</v>
      </c>
    </row>
    <row r="34" spans="1:14" ht="12.75">
      <c r="A34" s="9"/>
      <c r="B34" s="9"/>
      <c r="C34" s="11"/>
      <c r="D34" s="11"/>
      <c r="E34" s="11"/>
      <c r="F34" s="11"/>
      <c r="G34" s="11"/>
      <c r="I34" s="3">
        <v>2</v>
      </c>
      <c r="J34" s="14">
        <f aca="true" t="shared" si="4" ref="J34:N36">J20+$J27</f>
        <v>2.261546540363003</v>
      </c>
      <c r="K34" s="14">
        <f t="shared" si="4"/>
        <v>2.4820306497237237</v>
      </c>
      <c r="L34" s="14">
        <f t="shared" si="4"/>
        <v>2.584549922315534</v>
      </c>
      <c r="M34" s="14">
        <f t="shared" si="4"/>
        <v>2.652077640857603</v>
      </c>
      <c r="N34" s="14">
        <f t="shared" si="4"/>
        <v>2.702514759084444</v>
      </c>
    </row>
    <row r="35" spans="1:14" ht="12.75">
      <c r="A35" s="9"/>
      <c r="B35" s="9"/>
      <c r="C35" s="11"/>
      <c r="D35" s="11"/>
      <c r="E35" s="11"/>
      <c r="F35" s="11"/>
      <c r="G35" s="11"/>
      <c r="I35" s="3">
        <v>4</v>
      </c>
      <c r="J35" s="14">
        <f t="shared" si="4"/>
        <v>1.7758629652976485</v>
      </c>
      <c r="K35" s="14">
        <f t="shared" si="4"/>
        <v>1.996347074658369</v>
      </c>
      <c r="L35" s="14">
        <f t="shared" si="4"/>
        <v>2.09886634725018</v>
      </c>
      <c r="M35" s="14">
        <f t="shared" si="4"/>
        <v>2.1663940657922485</v>
      </c>
      <c r="N35" s="14">
        <f t="shared" si="4"/>
        <v>2.2168311840190897</v>
      </c>
    </row>
    <row r="36" spans="4:14" ht="12.75">
      <c r="D36" s="11"/>
      <c r="E36" s="11"/>
      <c r="F36" s="11"/>
      <c r="G36" s="11"/>
      <c r="I36" s="3">
        <v>8</v>
      </c>
      <c r="J36" s="14">
        <f t="shared" si="4"/>
        <v>1.2901793902322942</v>
      </c>
      <c r="K36" s="14">
        <f t="shared" si="4"/>
        <v>1.5106634995930148</v>
      </c>
      <c r="L36" s="14">
        <f t="shared" si="4"/>
        <v>1.6131827721848258</v>
      </c>
      <c r="M36" s="14">
        <f t="shared" si="4"/>
        <v>1.680710490726894</v>
      </c>
      <c r="N36" s="14">
        <f t="shared" si="4"/>
        <v>1.7311476089537354</v>
      </c>
    </row>
    <row r="37" spans="1:14" ht="12.75">
      <c r="A37" s="9"/>
      <c r="B37" s="9"/>
      <c r="C37" s="9"/>
      <c r="I37" s="9"/>
      <c r="J37" s="9"/>
      <c r="K37" s="9"/>
      <c r="L37" s="9"/>
      <c r="M37" s="9"/>
      <c r="N37" s="9"/>
    </row>
    <row r="38" spans="1:14" ht="12.75">
      <c r="A38" s="10"/>
      <c r="B38" s="10"/>
      <c r="C38" s="10"/>
      <c r="D38" s="9"/>
      <c r="E38" s="9"/>
      <c r="F38" s="9"/>
      <c r="G38" s="9"/>
      <c r="I38" s="9"/>
      <c r="J38" s="1" t="s">
        <v>26</v>
      </c>
      <c r="K38" s="9"/>
      <c r="L38" s="9"/>
      <c r="M38" s="9"/>
      <c r="N38" s="9"/>
    </row>
    <row r="39" spans="1:7" ht="12.75">
      <c r="A39" s="10"/>
      <c r="B39" s="13"/>
      <c r="C39" s="11"/>
      <c r="D39" s="10"/>
      <c r="E39" s="10"/>
      <c r="F39" s="10"/>
      <c r="G39" s="10"/>
    </row>
    <row r="40" spans="1:14" ht="12.75">
      <c r="A40" s="10"/>
      <c r="B40" s="13"/>
      <c r="C40" s="11"/>
      <c r="D40" s="11"/>
      <c r="E40" s="11"/>
      <c r="F40" s="11"/>
      <c r="G40" s="11"/>
      <c r="I40" s="3" t="s">
        <v>2</v>
      </c>
      <c r="J40" s="3">
        <v>1000</v>
      </c>
      <c r="K40" s="3">
        <v>2000</v>
      </c>
      <c r="L40" s="3">
        <v>3000</v>
      </c>
      <c r="M40" s="3">
        <v>4000</v>
      </c>
      <c r="N40" s="3">
        <v>5000</v>
      </c>
    </row>
    <row r="41" spans="4:14" ht="12.75">
      <c r="D41" s="11"/>
      <c r="E41" s="11"/>
      <c r="F41" s="11"/>
      <c r="G41" s="11"/>
      <c r="I41" s="3">
        <v>2</v>
      </c>
      <c r="J41" s="11">
        <f aca="true" t="shared" si="5" ref="J41:N43">$J$9*EXP(-J34)</f>
        <v>279.9169769102869</v>
      </c>
      <c r="K41" s="11">
        <f t="shared" si="5"/>
        <v>224.5299124920634</v>
      </c>
      <c r="L41" s="11">
        <f t="shared" si="5"/>
        <v>202.65188731653296</v>
      </c>
      <c r="M41" s="11">
        <f t="shared" si="5"/>
        <v>189.41908621624137</v>
      </c>
      <c r="N41" s="11">
        <f t="shared" si="5"/>
        <v>180.10226517933276</v>
      </c>
    </row>
    <row r="42" spans="1:14" ht="12.75">
      <c r="A42" s="10"/>
      <c r="B42" s="13"/>
      <c r="C42" s="11"/>
      <c r="D42" s="11"/>
      <c r="E42" s="11"/>
      <c r="F42" s="11"/>
      <c r="G42" s="11"/>
      <c r="I42" s="3">
        <v>4</v>
      </c>
      <c r="J42" s="11">
        <f t="shared" si="5"/>
        <v>454.945041267255</v>
      </c>
      <c r="K42" s="11">
        <f t="shared" si="5"/>
        <v>364.9252411623949</v>
      </c>
      <c r="L42" s="11">
        <f t="shared" si="5"/>
        <v>329.36720114570164</v>
      </c>
      <c r="M42" s="11">
        <f t="shared" si="5"/>
        <v>307.86011962065714</v>
      </c>
      <c r="N42" s="11">
        <f t="shared" si="5"/>
        <v>292.7176242354112</v>
      </c>
    </row>
    <row r="43" spans="1:14" ht="12.75">
      <c r="A43" s="10"/>
      <c r="B43" s="13"/>
      <c r="C43" s="11"/>
      <c r="D43" s="11"/>
      <c r="E43" s="11"/>
      <c r="F43" s="11"/>
      <c r="G43" s="11"/>
      <c r="I43" s="3">
        <v>8</v>
      </c>
      <c r="J43" s="11">
        <f t="shared" si="5"/>
        <v>739.4156398023677</v>
      </c>
      <c r="K43" s="11">
        <f t="shared" si="5"/>
        <v>593.107751922093</v>
      </c>
      <c r="L43" s="11">
        <f t="shared" si="5"/>
        <v>535.3157803120184</v>
      </c>
      <c r="M43" s="11">
        <f t="shared" si="5"/>
        <v>500.36062968146035</v>
      </c>
      <c r="N43" s="11">
        <f t="shared" si="5"/>
        <v>475.7497494698686</v>
      </c>
    </row>
    <row r="44" spans="1:14" ht="12.75">
      <c r="A44" s="10"/>
      <c r="B44" s="13"/>
      <c r="C44" s="11"/>
      <c r="D44" s="11"/>
      <c r="E44" s="11"/>
      <c r="F44" s="11"/>
      <c r="G44" s="11"/>
      <c r="I44" s="10"/>
      <c r="J44" s="11"/>
      <c r="K44" s="11"/>
      <c r="L44" s="11"/>
      <c r="M44" s="11"/>
      <c r="N44" s="9"/>
    </row>
    <row r="45" spans="1:14" ht="12.75">
      <c r="A45" s="10"/>
      <c r="B45" s="13"/>
      <c r="C45" s="11"/>
      <c r="D45" s="11"/>
      <c r="E45" s="11"/>
      <c r="F45" s="11"/>
      <c r="G45" s="11"/>
      <c r="I45" s="9"/>
      <c r="J45" s="1" t="s">
        <v>27</v>
      </c>
      <c r="K45" s="9"/>
      <c r="L45" s="9"/>
      <c r="M45" s="9"/>
      <c r="N45" s="9"/>
    </row>
    <row r="46" spans="1:7" ht="12.75">
      <c r="A46" s="10"/>
      <c r="B46" s="13"/>
      <c r="C46" s="11"/>
      <c r="D46" s="11"/>
      <c r="E46" s="11"/>
      <c r="F46" s="11"/>
      <c r="G46" s="11"/>
    </row>
    <row r="47" spans="1:15" ht="15.75">
      <c r="A47" s="10"/>
      <c r="B47" s="13"/>
      <c r="C47" s="11"/>
      <c r="D47" s="11"/>
      <c r="E47" s="11"/>
      <c r="F47" s="11"/>
      <c r="G47" s="11"/>
      <c r="I47" s="3" t="s">
        <v>2</v>
      </c>
      <c r="J47" s="3">
        <v>1000</v>
      </c>
      <c r="K47" s="3">
        <v>2000</v>
      </c>
      <c r="L47" s="3">
        <v>3000</v>
      </c>
      <c r="M47" s="3">
        <v>4000</v>
      </c>
      <c r="N47" s="3">
        <v>5000</v>
      </c>
      <c r="O47" s="3" t="s">
        <v>24</v>
      </c>
    </row>
    <row r="48" spans="1:15" ht="12.75">
      <c r="A48" s="10"/>
      <c r="B48" s="13"/>
      <c r="C48" s="11"/>
      <c r="D48" s="11"/>
      <c r="E48" s="11"/>
      <c r="F48" s="11"/>
      <c r="G48" s="11"/>
      <c r="I48" s="3">
        <v>2</v>
      </c>
      <c r="J48" s="11">
        <f aca="true" t="shared" si="6" ref="J48:N50">$O48*($J$8+$J$10)+(1-$O48)*($J$10+J41)</f>
        <v>385.87938723194725</v>
      </c>
      <c r="K48" s="11">
        <f t="shared" si="6"/>
        <v>358.18585502283554</v>
      </c>
      <c r="L48" s="11">
        <f t="shared" si="6"/>
        <v>347.24684243507033</v>
      </c>
      <c r="M48" s="11">
        <f t="shared" si="6"/>
        <v>340.6304418849245</v>
      </c>
      <c r="N48" s="11">
        <f t="shared" si="6"/>
        <v>335.9720313664702</v>
      </c>
      <c r="O48" s="6">
        <f>1/I48</f>
        <v>0.5</v>
      </c>
    </row>
    <row r="49" spans="1:15" ht="12.75">
      <c r="A49" s="9"/>
      <c r="B49" s="9"/>
      <c r="C49" s="9"/>
      <c r="D49" s="9"/>
      <c r="E49" s="9"/>
      <c r="F49" s="9"/>
      <c r="G49" s="9"/>
      <c r="I49" s="3">
        <v>4</v>
      </c>
      <c r="J49" s="11">
        <f t="shared" si="6"/>
        <v>574.629679727245</v>
      </c>
      <c r="K49" s="11">
        <f t="shared" si="6"/>
        <v>507.11482964860005</v>
      </c>
      <c r="L49" s="11">
        <f t="shared" si="6"/>
        <v>480.4462996360801</v>
      </c>
      <c r="M49" s="11">
        <f t="shared" si="6"/>
        <v>464.31598849229664</v>
      </c>
      <c r="N49" s="11">
        <f t="shared" si="6"/>
        <v>452.95911695336224</v>
      </c>
      <c r="O49" s="6">
        <f>1/I49</f>
        <v>0.25</v>
      </c>
    </row>
    <row r="50" spans="1:15" ht="12.75">
      <c r="A50" s="9"/>
      <c r="B50" s="9"/>
      <c r="C50" s="9"/>
      <c r="D50" s="9"/>
      <c r="E50" s="9"/>
      <c r="F50" s="9"/>
      <c r="G50" s="9"/>
      <c r="I50" s="3">
        <v>8</v>
      </c>
      <c r="J50" s="11">
        <f t="shared" si="6"/>
        <v>874.1595836038755</v>
      </c>
      <c r="K50" s="11">
        <f t="shared" si="6"/>
        <v>746.1401817086353</v>
      </c>
      <c r="L50" s="11">
        <f t="shared" si="6"/>
        <v>695.5722065498198</v>
      </c>
      <c r="M50" s="11">
        <f t="shared" si="6"/>
        <v>664.9864497480817</v>
      </c>
      <c r="N50" s="11">
        <f t="shared" si="6"/>
        <v>643.4519295629389</v>
      </c>
      <c r="O50" s="6">
        <f>1/I50</f>
        <v>0.125</v>
      </c>
    </row>
    <row r="51" spans="1:14" ht="12.75">
      <c r="A51" s="9"/>
      <c r="B51" s="9"/>
      <c r="C51" s="11"/>
      <c r="D51" s="11"/>
      <c r="E51" s="11"/>
      <c r="F51" s="11"/>
      <c r="G51" s="11"/>
      <c r="I51" s="9"/>
      <c r="J51" s="9"/>
      <c r="K51" s="9"/>
      <c r="L51" s="9"/>
      <c r="M51" s="9"/>
      <c r="N51" s="9"/>
    </row>
    <row r="52" spans="1:14" ht="12.75">
      <c r="A52" s="9"/>
      <c r="B52" s="9"/>
      <c r="C52" s="11"/>
      <c r="D52" s="11"/>
      <c r="E52" s="11"/>
      <c r="F52" s="11"/>
      <c r="G52" s="11"/>
      <c r="I52" s="9"/>
      <c r="J52" s="1" t="s">
        <v>28</v>
      </c>
      <c r="K52" s="9"/>
      <c r="L52" s="9"/>
      <c r="M52" s="9"/>
      <c r="N52" s="9"/>
    </row>
    <row r="53" spans="1:7" ht="12.75">
      <c r="A53" s="9"/>
      <c r="B53" s="9"/>
      <c r="C53" s="11"/>
      <c r="D53" s="11"/>
      <c r="E53" s="11"/>
      <c r="F53" s="11"/>
      <c r="G53" s="11"/>
    </row>
    <row r="54" spans="1:14" ht="12.75">
      <c r="A54" s="9"/>
      <c r="B54" s="9"/>
      <c r="C54" s="11"/>
      <c r="D54" s="11"/>
      <c r="E54" s="11"/>
      <c r="F54" s="11"/>
      <c r="G54" s="11"/>
      <c r="I54" s="3" t="s">
        <v>2</v>
      </c>
      <c r="J54" s="3">
        <v>1000</v>
      </c>
      <c r="K54" s="3">
        <v>2000</v>
      </c>
      <c r="L54" s="3">
        <v>3000</v>
      </c>
      <c r="M54" s="3">
        <v>4000</v>
      </c>
      <c r="N54" s="3">
        <v>5000</v>
      </c>
    </row>
    <row r="55" spans="1:14" ht="12.75">
      <c r="A55" s="9"/>
      <c r="B55" s="9"/>
      <c r="C55" s="11"/>
      <c r="D55" s="11"/>
      <c r="E55" s="11"/>
      <c r="F55" s="11"/>
      <c r="G55" s="11"/>
      <c r="I55" s="3">
        <v>2</v>
      </c>
      <c r="J55" s="11">
        <f aca="true" t="shared" si="7" ref="J55:N57">$O48*($J$8+$J$10+J41)+(1-$O48)*($J$10+J41)</f>
        <v>525.8378756870907</v>
      </c>
      <c r="K55" s="11">
        <f t="shared" si="7"/>
        <v>470.45081126886726</v>
      </c>
      <c r="L55" s="11">
        <f t="shared" si="7"/>
        <v>448.5727860933368</v>
      </c>
      <c r="M55" s="11">
        <f t="shared" si="7"/>
        <v>435.33998499304516</v>
      </c>
      <c r="N55" s="11">
        <f t="shared" si="7"/>
        <v>426.0231639561366</v>
      </c>
    </row>
    <row r="56" spans="1:14" ht="12.75">
      <c r="A56" s="9"/>
      <c r="B56" s="9"/>
      <c r="C56" s="11"/>
      <c r="D56" s="11"/>
      <c r="E56" s="11"/>
      <c r="F56" s="11"/>
      <c r="G56" s="11"/>
      <c r="I56" s="3">
        <v>4</v>
      </c>
      <c r="J56" s="11">
        <f t="shared" si="7"/>
        <v>688.3659400440588</v>
      </c>
      <c r="K56" s="11">
        <f t="shared" si="7"/>
        <v>598.3461399391988</v>
      </c>
      <c r="L56" s="11">
        <f t="shared" si="7"/>
        <v>562.7880999225055</v>
      </c>
      <c r="M56" s="11">
        <f t="shared" si="7"/>
        <v>541.2810183974609</v>
      </c>
      <c r="N56" s="11">
        <f t="shared" si="7"/>
        <v>526.138523012215</v>
      </c>
    </row>
    <row r="57" spans="1:14" ht="12.75">
      <c r="A57" s="9"/>
      <c r="B57" s="9"/>
      <c r="C57" s="11"/>
      <c r="D57" s="11"/>
      <c r="E57" s="11"/>
      <c r="F57" s="11"/>
      <c r="G57" s="11"/>
      <c r="I57" s="3">
        <v>8</v>
      </c>
      <c r="J57" s="11">
        <f t="shared" si="7"/>
        <v>966.5865385791715</v>
      </c>
      <c r="K57" s="11">
        <f t="shared" si="7"/>
        <v>820.2786506988969</v>
      </c>
      <c r="L57" s="11">
        <f t="shared" si="7"/>
        <v>762.4866790888223</v>
      </c>
      <c r="M57" s="11">
        <f t="shared" si="7"/>
        <v>727.5315284582641</v>
      </c>
      <c r="N57" s="11">
        <f t="shared" si="7"/>
        <v>702.9206482466725</v>
      </c>
    </row>
    <row r="58" spans="1:14" ht="12.75">
      <c r="A58" s="9"/>
      <c r="B58" s="9"/>
      <c r="C58" s="11"/>
      <c r="D58" s="11"/>
      <c r="E58" s="11"/>
      <c r="F58" s="11"/>
      <c r="G58" s="11"/>
      <c r="I58" s="9"/>
      <c r="J58" s="9"/>
      <c r="K58" s="9"/>
      <c r="L58" s="9"/>
      <c r="M58" s="9"/>
      <c r="N58" s="9"/>
    </row>
    <row r="59" spans="1:14" ht="12.75">
      <c r="A59" s="9"/>
      <c r="B59" s="9"/>
      <c r="C59" s="11"/>
      <c r="D59" s="11"/>
      <c r="E59" s="11"/>
      <c r="F59" s="11"/>
      <c r="G59" s="11"/>
      <c r="I59" s="9"/>
      <c r="J59" s="9"/>
      <c r="K59" s="9"/>
      <c r="L59" s="9"/>
      <c r="M59" s="9"/>
      <c r="N59" s="9"/>
    </row>
    <row r="60" spans="1:14" ht="12.75">
      <c r="A60" s="9"/>
      <c r="B60" s="9"/>
      <c r="C60" s="9"/>
      <c r="D60" s="9"/>
      <c r="E60" s="9"/>
      <c r="F60" s="9"/>
      <c r="G60" s="9"/>
      <c r="I60" s="10"/>
      <c r="J60" s="10"/>
      <c r="K60" s="10"/>
      <c r="L60" s="10"/>
      <c r="M60" s="10"/>
      <c r="N60" s="9"/>
    </row>
    <row r="61" spans="9:14" ht="12.75">
      <c r="I61" s="10"/>
      <c r="J61" s="11"/>
      <c r="K61" s="11"/>
      <c r="L61" s="11"/>
      <c r="M61" s="11"/>
      <c r="N61" s="9"/>
    </row>
    <row r="62" spans="9:14" ht="12.75">
      <c r="I62" s="10"/>
      <c r="J62" s="11"/>
      <c r="K62" s="11"/>
      <c r="L62" s="11"/>
      <c r="M62" s="11"/>
      <c r="N62" s="9"/>
    </row>
    <row r="63" spans="9:14" ht="12.75">
      <c r="I63" s="10"/>
      <c r="J63" s="11"/>
      <c r="K63" s="11"/>
      <c r="L63" s="11"/>
      <c r="M63" s="11"/>
      <c r="N63" s="9"/>
    </row>
    <row r="64" spans="9:14" ht="12.75">
      <c r="I64" s="10"/>
      <c r="J64" s="11"/>
      <c r="K64" s="11"/>
      <c r="L64" s="11"/>
      <c r="M64" s="11"/>
      <c r="N64" s="9"/>
    </row>
    <row r="65" spans="9:14" ht="12.75">
      <c r="I65" s="10"/>
      <c r="J65" s="11"/>
      <c r="K65" s="11"/>
      <c r="L65" s="11"/>
      <c r="M65" s="11"/>
      <c r="N65" s="9"/>
    </row>
    <row r="66" spans="9:14" ht="12.75">
      <c r="I66" s="10"/>
      <c r="J66" s="11"/>
      <c r="K66" s="11"/>
      <c r="L66" s="11"/>
      <c r="M66" s="11"/>
      <c r="N66" s="9"/>
    </row>
    <row r="67" spans="9:14" ht="12.75">
      <c r="I67" s="10"/>
      <c r="J67" s="11"/>
      <c r="K67" s="11"/>
      <c r="L67" s="11"/>
      <c r="M67" s="11"/>
      <c r="N67" s="9"/>
    </row>
    <row r="68" spans="9:14" ht="12.75">
      <c r="I68" s="10"/>
      <c r="J68" s="11"/>
      <c r="K68" s="11"/>
      <c r="L68" s="11"/>
      <c r="M68" s="11"/>
      <c r="N68" s="9"/>
    </row>
    <row r="69" spans="9:14" ht="12.75">
      <c r="I69" s="10"/>
      <c r="J69" s="11"/>
      <c r="K69" s="11"/>
      <c r="L69" s="11"/>
      <c r="M69" s="11"/>
      <c r="N69" s="9"/>
    </row>
    <row r="70" spans="9:14" ht="12.75">
      <c r="I70" s="9"/>
      <c r="J70" s="9"/>
      <c r="K70" s="9"/>
      <c r="L70" s="9"/>
      <c r="M70" s="9"/>
      <c r="N70" s="9"/>
    </row>
    <row r="71" spans="9:14" ht="12.75">
      <c r="I71" s="9"/>
      <c r="J71" s="9"/>
      <c r="K71" s="9"/>
      <c r="L71" s="9"/>
      <c r="M71" s="9"/>
      <c r="N71" s="9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1"/>
  <sheetViews>
    <sheetView workbookViewId="0" topLeftCell="A1">
      <selection activeCell="H1" sqref="H1"/>
    </sheetView>
  </sheetViews>
  <sheetFormatPr defaultColWidth="9.140625" defaultRowHeight="12.75"/>
  <cols>
    <col min="7" max="7" width="5.421875" style="0" customWidth="1"/>
    <col min="8" max="8" width="9.00390625" style="0" customWidth="1"/>
    <col min="9" max="9" width="8.421875" style="0" customWidth="1"/>
    <col min="10" max="11" width="10.00390625" style="0" customWidth="1"/>
    <col min="12" max="13" width="8.421875" style="0" customWidth="1"/>
    <col min="15" max="15" width="11.00390625" style="0" customWidth="1"/>
    <col min="16" max="21" width="8.7109375" style="0" customWidth="1"/>
  </cols>
  <sheetData>
    <row r="1" ht="12.75">
      <c r="A1" s="1" t="s">
        <v>36</v>
      </c>
    </row>
    <row r="3" spans="1:14" ht="12.75">
      <c r="A3" s="2" t="s">
        <v>37</v>
      </c>
      <c r="B3" s="3"/>
      <c r="C3" s="3"/>
      <c r="D3" s="3"/>
      <c r="E3" s="3"/>
      <c r="F3" s="3"/>
      <c r="H3" s="1" t="s">
        <v>16</v>
      </c>
      <c r="I3" s="9"/>
      <c r="J3" s="9"/>
      <c r="K3" s="9"/>
      <c r="L3" s="9"/>
      <c r="M3" s="9"/>
      <c r="N3" s="1" t="s">
        <v>68</v>
      </c>
    </row>
    <row r="4" spans="1:13" ht="12.75">
      <c r="A4" s="9"/>
      <c r="B4" s="9"/>
      <c r="C4" s="9"/>
      <c r="D4" s="9"/>
      <c r="E4" s="9"/>
      <c r="F4" s="9"/>
      <c r="H4" s="9"/>
      <c r="I4" s="10"/>
      <c r="J4" s="10"/>
      <c r="K4" s="10"/>
      <c r="L4" s="10"/>
      <c r="M4" s="9"/>
    </row>
    <row r="5" spans="1:21" ht="15.75">
      <c r="A5" t="s">
        <v>40</v>
      </c>
      <c r="B5" t="s">
        <v>41</v>
      </c>
      <c r="C5" s="3" t="s">
        <v>42</v>
      </c>
      <c r="D5" s="3" t="s">
        <v>43</v>
      </c>
      <c r="E5" s="3" t="s">
        <v>44</v>
      </c>
      <c r="F5" s="3" t="s">
        <v>45</v>
      </c>
      <c r="H5" t="s">
        <v>17</v>
      </c>
      <c r="I5" s="17">
        <v>1</v>
      </c>
      <c r="J5" s="11"/>
      <c r="K5" s="19"/>
      <c r="L5" s="20"/>
      <c r="M5" s="9"/>
      <c r="N5" t="s">
        <v>61</v>
      </c>
      <c r="O5" t="s">
        <v>48</v>
      </c>
      <c r="P5" t="s">
        <v>62</v>
      </c>
      <c r="Q5" t="s">
        <v>63</v>
      </c>
      <c r="R5" t="s">
        <v>64</v>
      </c>
      <c r="S5" t="s">
        <v>65</v>
      </c>
      <c r="T5" t="s">
        <v>66</v>
      </c>
      <c r="U5" t="s">
        <v>67</v>
      </c>
    </row>
    <row r="6" spans="1:21" ht="15.75">
      <c r="A6" s="22">
        <v>1.59</v>
      </c>
      <c r="B6" s="6">
        <v>0.39</v>
      </c>
      <c r="C6" s="6">
        <f aca="true" t="shared" si="0" ref="C6:C13">1-B6</f>
        <v>0.61</v>
      </c>
      <c r="D6" s="23">
        <f>E6*C6+F6*B6</f>
        <v>310.65882352941173</v>
      </c>
      <c r="E6" s="5">
        <v>262.94117647058823</v>
      </c>
      <c r="F6" s="5">
        <v>385.29411764705884</v>
      </c>
      <c r="H6" t="s">
        <v>20</v>
      </c>
      <c r="I6" s="17">
        <v>0.5</v>
      </c>
      <c r="J6" s="11"/>
      <c r="K6" s="19"/>
      <c r="L6" s="20"/>
      <c r="M6" s="9"/>
      <c r="N6" t="s">
        <v>0</v>
      </c>
      <c r="O6" t="s">
        <v>51</v>
      </c>
      <c r="P6" s="5">
        <f>SLOPE(F6:F13,C6:C13)</f>
        <v>57.06403955362589</v>
      </c>
      <c r="Q6" s="5">
        <f>INTERCEPT(F6:F13,C6:C13)</f>
        <v>354.644245109059</v>
      </c>
      <c r="R6" s="6">
        <f>C13</f>
        <v>0</v>
      </c>
      <c r="S6" s="5">
        <f>P6*R6+Q6</f>
        <v>354.644245109059</v>
      </c>
      <c r="T6" s="6">
        <f>C6</f>
        <v>0.61</v>
      </c>
      <c r="U6" s="5">
        <f>P6*T6+Q6</f>
        <v>389.4533092367708</v>
      </c>
    </row>
    <row r="7" spans="1:21" ht="12.75">
      <c r="A7" s="22">
        <v>1.73</v>
      </c>
      <c r="B7" s="6">
        <v>0.47</v>
      </c>
      <c r="C7" s="6">
        <f t="shared" si="0"/>
        <v>0.53</v>
      </c>
      <c r="D7" s="23">
        <f aca="true" t="shared" si="1" ref="D7:D13">E7*C7+F7*B7</f>
        <v>331.7705882352941</v>
      </c>
      <c r="E7" s="5">
        <v>281.1764705882353</v>
      </c>
      <c r="F7" s="5">
        <v>388.8235294117647</v>
      </c>
      <c r="H7" t="s">
        <v>18</v>
      </c>
      <c r="I7" s="17">
        <v>1.5</v>
      </c>
      <c r="J7" s="11"/>
      <c r="K7" s="11"/>
      <c r="L7" s="11"/>
      <c r="M7" s="11"/>
      <c r="O7" t="s">
        <v>50</v>
      </c>
      <c r="P7" s="5">
        <f>SLOPE(E6:E12,C6:C12)</f>
        <v>-161.56275890637943</v>
      </c>
      <c r="Q7" s="5">
        <f>INTERCEPT(E6:E12,C6:C12)</f>
        <v>360.990990057995</v>
      </c>
      <c r="R7" s="6">
        <f>C12</f>
        <v>0.030000000000000027</v>
      </c>
      <c r="S7" s="5">
        <f>P7*R7+Q7</f>
        <v>356.1441072908036</v>
      </c>
      <c r="T7" s="6">
        <f>C6</f>
        <v>0.61</v>
      </c>
      <c r="U7" s="5">
        <f>P7*T7+Q7</f>
        <v>262.43770712510354</v>
      </c>
    </row>
    <row r="8" spans="1:21" ht="15.75">
      <c r="A8" s="22">
        <v>1.87</v>
      </c>
      <c r="B8" s="6">
        <v>0.56</v>
      </c>
      <c r="C8" s="6">
        <f t="shared" si="0"/>
        <v>0.43999999999999995</v>
      </c>
      <c r="D8" s="23">
        <f t="shared" si="1"/>
        <v>340.9411764705883</v>
      </c>
      <c r="E8" s="5">
        <v>288.2352941176471</v>
      </c>
      <c r="F8" s="5">
        <v>382.3529411764706</v>
      </c>
      <c r="H8" t="s">
        <v>21</v>
      </c>
      <c r="I8" s="18">
        <v>50</v>
      </c>
      <c r="J8" s="12"/>
      <c r="K8" s="12"/>
      <c r="L8" s="12"/>
      <c r="M8" s="12"/>
      <c r="N8" t="s">
        <v>52</v>
      </c>
      <c r="O8" t="s">
        <v>51</v>
      </c>
      <c r="P8" s="5">
        <f>SLOPE(F18:F25,C18:C25)</f>
        <v>50</v>
      </c>
      <c r="Q8" s="5">
        <f>INTERCEPT(F18:F25,C18:C25)</f>
        <v>357.5217253780397</v>
      </c>
      <c r="R8" s="6">
        <f>C13</f>
        <v>0</v>
      </c>
      <c r="S8" s="5">
        <f>P8*R8+Q8</f>
        <v>357.5217253780397</v>
      </c>
      <c r="T8" s="6">
        <f>C6</f>
        <v>0.61</v>
      </c>
      <c r="U8" s="5">
        <f>P8*T8+Q8</f>
        <v>388.0217253780397</v>
      </c>
    </row>
    <row r="9" spans="1:21" ht="12.75">
      <c r="A9" s="22">
        <v>2</v>
      </c>
      <c r="B9" s="6">
        <v>0.75</v>
      </c>
      <c r="C9" s="6">
        <f t="shared" si="0"/>
        <v>0.25</v>
      </c>
      <c r="D9" s="23">
        <f t="shared" si="1"/>
        <v>352.79411764705884</v>
      </c>
      <c r="E9" s="5">
        <v>311.7647058823529</v>
      </c>
      <c r="F9" s="5">
        <v>366.47058823529414</v>
      </c>
      <c r="H9" t="s">
        <v>19</v>
      </c>
      <c r="I9" s="18">
        <v>456.87430517172623</v>
      </c>
      <c r="O9" t="s">
        <v>50</v>
      </c>
      <c r="P9" s="5">
        <f>SLOPE(E18:E24,C18:C24)</f>
        <v>-153.88487376133975</v>
      </c>
      <c r="Q9" s="5">
        <f>INTERCEPT(E18:E24,C18:C24)</f>
        <v>357.5217253780397</v>
      </c>
      <c r="R9" s="6">
        <f>C12</f>
        <v>0.030000000000000027</v>
      </c>
      <c r="S9" s="5">
        <f>P9*R9+Q9</f>
        <v>352.9051791651995</v>
      </c>
      <c r="T9" s="6">
        <f>C6</f>
        <v>0.61</v>
      </c>
      <c r="U9" s="5">
        <f>P9*T9+Q9</f>
        <v>263.6519523836225</v>
      </c>
    </row>
    <row r="10" spans="1:9" ht="15.75">
      <c r="A10" s="22">
        <v>1.93</v>
      </c>
      <c r="B10" s="6">
        <v>0.88</v>
      </c>
      <c r="C10" s="6">
        <f t="shared" si="0"/>
        <v>0.12</v>
      </c>
      <c r="D10" s="23">
        <f t="shared" si="1"/>
        <v>356.47058823529414</v>
      </c>
      <c r="E10" s="5">
        <v>330.5882352941176</v>
      </c>
      <c r="F10" s="5">
        <v>360</v>
      </c>
      <c r="H10" t="s">
        <v>22</v>
      </c>
      <c r="I10" s="18">
        <v>153.63685161669994</v>
      </c>
    </row>
    <row r="11" spans="1:12" ht="12.75">
      <c r="A11" s="22">
        <v>1.87</v>
      </c>
      <c r="B11" s="6">
        <v>0.92</v>
      </c>
      <c r="C11" s="6">
        <f t="shared" si="0"/>
        <v>0.07999999999999996</v>
      </c>
      <c r="D11" s="23">
        <f t="shared" si="1"/>
        <v>360.25882352941176</v>
      </c>
      <c r="E11" s="5">
        <v>356.47058823529414</v>
      </c>
      <c r="F11" s="5">
        <v>360.5882352941176</v>
      </c>
      <c r="H11" t="s">
        <v>14</v>
      </c>
      <c r="I11" s="7">
        <f>SQRT(AVERAGE(E29:F36))</f>
        <v>5.547791859678386</v>
      </c>
      <c r="J11" s="3"/>
      <c r="K11" s="3"/>
      <c r="L11" s="3"/>
    </row>
    <row r="12" spans="1:12" ht="12.75">
      <c r="A12" s="22">
        <v>1.73</v>
      </c>
      <c r="B12" s="6">
        <v>0.97</v>
      </c>
      <c r="C12" s="6">
        <f t="shared" si="0"/>
        <v>0.030000000000000027</v>
      </c>
      <c r="D12" s="23">
        <f t="shared" si="1"/>
        <v>356.0941176470588</v>
      </c>
      <c r="E12" s="5">
        <v>362.94117647058823</v>
      </c>
      <c r="F12" s="5">
        <v>355.88235294117646</v>
      </c>
      <c r="H12" t="s">
        <v>15</v>
      </c>
      <c r="I12" s="8">
        <f>CORREL(E18:F25,E6:F13)</f>
        <v>0.989376355075036</v>
      </c>
      <c r="J12" s="4"/>
      <c r="K12" s="4"/>
      <c r="L12" s="4"/>
    </row>
    <row r="13" spans="1:12" ht="12.75">
      <c r="A13" s="22">
        <v>1.59</v>
      </c>
      <c r="B13" s="6">
        <v>1</v>
      </c>
      <c r="C13" s="6">
        <f t="shared" si="0"/>
        <v>0</v>
      </c>
      <c r="D13" s="23">
        <f t="shared" si="1"/>
        <v>355.29411764705884</v>
      </c>
      <c r="E13" s="5"/>
      <c r="F13" s="5">
        <v>355.29411764705884</v>
      </c>
      <c r="J13" s="4"/>
      <c r="K13" s="4"/>
      <c r="L13" s="4"/>
    </row>
    <row r="14" spans="1:12" ht="12.75">
      <c r="A14" s="10"/>
      <c r="B14" s="10"/>
      <c r="C14" s="10"/>
      <c r="D14" s="10"/>
      <c r="E14" s="10"/>
      <c r="F14" s="10"/>
      <c r="H14" s="1" t="s">
        <v>23</v>
      </c>
      <c r="J14" s="4"/>
      <c r="K14" s="4"/>
      <c r="L14" s="4"/>
    </row>
    <row r="15" spans="1:12" ht="12.75">
      <c r="A15" s="1" t="s">
        <v>10</v>
      </c>
      <c r="J15" s="5"/>
      <c r="K15" s="5"/>
      <c r="L15" s="5"/>
    </row>
    <row r="16" spans="1:9" ht="12.75">
      <c r="A16" s="10"/>
      <c r="B16" s="13"/>
      <c r="C16" s="11"/>
      <c r="D16" s="11"/>
      <c r="E16" s="11"/>
      <c r="F16" s="11"/>
      <c r="I16" s="1" t="s">
        <v>69</v>
      </c>
    </row>
    <row r="17" spans="1:15" ht="15.75">
      <c r="A17" t="s">
        <v>40</v>
      </c>
      <c r="B17" t="s">
        <v>41</v>
      </c>
      <c r="C17" s="3" t="s">
        <v>42</v>
      </c>
      <c r="D17" s="3" t="s">
        <v>43</v>
      </c>
      <c r="E17" s="3" t="s">
        <v>44</v>
      </c>
      <c r="F17" s="3" t="s">
        <v>45</v>
      </c>
      <c r="H17" s="9"/>
      <c r="I17" s="9"/>
      <c r="J17" s="9"/>
      <c r="K17" s="9"/>
      <c r="L17" s="9"/>
      <c r="M17" s="9"/>
      <c r="N17" s="10"/>
      <c r="O17" s="9"/>
    </row>
    <row r="18" spans="1:15" ht="15.75">
      <c r="A18" s="22">
        <v>1.59</v>
      </c>
      <c r="B18" s="6">
        <v>0.39</v>
      </c>
      <c r="C18" s="6">
        <f aca="true" t="shared" si="2" ref="C18:C25">1-B18</f>
        <v>0.61</v>
      </c>
      <c r="D18" s="23">
        <f>E18*C18+F18*B18</f>
        <v>312.15616385144517</v>
      </c>
      <c r="E18" s="11">
        <f aca="true" t="shared" si="3" ref="E18:E24">C18*($I$8+$I$10)+(1-C18)*($I$10+$J$19)</f>
        <v>263.6519523836225</v>
      </c>
      <c r="F18" s="11">
        <f aca="true" t="shared" si="4" ref="F18:F25">C18*($I$8+$I$10+$J$19)+(1-C18)*($I$10+$J$19)</f>
        <v>388.0217253780397</v>
      </c>
      <c r="H18" s="9"/>
      <c r="I18" t="s">
        <v>55</v>
      </c>
      <c r="J18" s="10" t="s">
        <v>54</v>
      </c>
      <c r="K18" s="9"/>
      <c r="L18" s="9"/>
      <c r="M18" s="9"/>
      <c r="N18" s="9"/>
      <c r="O18" s="9"/>
    </row>
    <row r="19" spans="1:15" ht="12.75">
      <c r="A19" s="22">
        <v>1.73</v>
      </c>
      <c r="B19" s="6">
        <v>0.47</v>
      </c>
      <c r="C19" s="6">
        <f t="shared" si="2"/>
        <v>0.53</v>
      </c>
      <c r="D19" s="23">
        <f aca="true" t="shared" si="5" ref="D19:D25">E19*C19+F19*B19</f>
        <v>326.7504643384794</v>
      </c>
      <c r="E19" s="11">
        <f t="shared" si="3"/>
        <v>275.96274228452967</v>
      </c>
      <c r="F19" s="11">
        <f t="shared" si="4"/>
        <v>384.0217253780397</v>
      </c>
      <c r="H19" s="10"/>
      <c r="I19" s="14">
        <f>($I$5*$I$6)*($I$7-LN(4))+($I$5*(1-$I$6))*($I$7-LN(1))</f>
        <v>0.8068528194400547</v>
      </c>
      <c r="J19" s="11">
        <f>$I$9*EXP(-I19)</f>
        <v>203.88487376133975</v>
      </c>
      <c r="K19" s="10"/>
      <c r="L19" s="10"/>
      <c r="M19" s="10"/>
      <c r="N19" s="9"/>
      <c r="O19" s="9"/>
    </row>
    <row r="20" spans="1:15" ht="12.75">
      <c r="A20" s="22">
        <v>1.87</v>
      </c>
      <c r="B20" s="6">
        <v>0.56</v>
      </c>
      <c r="C20" s="6">
        <f t="shared" si="2"/>
        <v>0.43999999999999995</v>
      </c>
      <c r="D20" s="23">
        <f t="shared" si="5"/>
        <v>340.0496138178444</v>
      </c>
      <c r="E20" s="11">
        <f t="shared" si="3"/>
        <v>289.8123809230502</v>
      </c>
      <c r="F20" s="11">
        <f t="shared" si="4"/>
        <v>379.5217253780397</v>
      </c>
      <c r="H20" s="10"/>
      <c r="I20" s="9"/>
      <c r="J20" s="14"/>
      <c r="K20" s="14"/>
      <c r="L20" s="14"/>
      <c r="M20" s="14"/>
      <c r="N20" s="9"/>
      <c r="O20" s="9"/>
    </row>
    <row r="21" spans="1:15" ht="12.75">
      <c r="A21" s="22">
        <v>2</v>
      </c>
      <c r="B21" s="6">
        <v>0.75</v>
      </c>
      <c r="C21" s="6">
        <f t="shared" si="2"/>
        <v>0.25</v>
      </c>
      <c r="D21" s="23">
        <f t="shared" si="5"/>
        <v>357.278920767956</v>
      </c>
      <c r="E21" s="11">
        <f t="shared" si="3"/>
        <v>319.05050693770477</v>
      </c>
      <c r="F21" s="11">
        <f t="shared" si="4"/>
        <v>370.0217253780397</v>
      </c>
      <c r="H21" s="10"/>
      <c r="I21" s="14"/>
      <c r="J21" s="14"/>
      <c r="K21" s="14"/>
      <c r="L21" s="14"/>
      <c r="M21" s="14"/>
      <c r="N21" s="10"/>
      <c r="O21" s="9"/>
    </row>
    <row r="22" spans="1:15" ht="12.75">
      <c r="A22" s="22">
        <v>1.93</v>
      </c>
      <c r="B22" s="6">
        <v>0.88</v>
      </c>
      <c r="C22" s="6">
        <f t="shared" si="2"/>
        <v>0.12</v>
      </c>
      <c r="D22" s="23">
        <f t="shared" si="5"/>
        <v>360.58578319587645</v>
      </c>
      <c r="E22" s="11">
        <f t="shared" si="3"/>
        <v>339.0555405266789</v>
      </c>
      <c r="F22" s="11">
        <f t="shared" si="4"/>
        <v>363.5217253780397</v>
      </c>
      <c r="H22" s="10"/>
      <c r="J22" s="14"/>
      <c r="K22" s="14"/>
      <c r="L22" s="14"/>
      <c r="M22" s="14"/>
      <c r="N22" s="9"/>
      <c r="O22" s="9"/>
    </row>
    <row r="23" spans="1:15" ht="12.75">
      <c r="A23" s="22">
        <v>1.87</v>
      </c>
      <c r="B23" s="6">
        <v>0.92</v>
      </c>
      <c r="C23" s="6">
        <f t="shared" si="2"/>
        <v>0.07999999999999996</v>
      </c>
      <c r="D23" s="23">
        <f t="shared" si="5"/>
        <v>360.21686218596716</v>
      </c>
      <c r="E23" s="11">
        <f t="shared" si="3"/>
        <v>345.2109354771326</v>
      </c>
      <c r="F23" s="11">
        <f t="shared" si="4"/>
        <v>361.5217253780397</v>
      </c>
      <c r="H23" s="9"/>
      <c r="L23" s="9"/>
      <c r="M23" s="9"/>
      <c r="N23" s="9"/>
      <c r="O23" s="9"/>
    </row>
    <row r="24" spans="1:15" ht="12.75">
      <c r="A24" s="22">
        <v>1.73</v>
      </c>
      <c r="B24" s="6">
        <v>0.97</v>
      </c>
      <c r="C24" s="6">
        <f t="shared" si="2"/>
        <v>0.030000000000000027</v>
      </c>
      <c r="D24" s="23">
        <f t="shared" si="5"/>
        <v>358.83822899165455</v>
      </c>
      <c r="E24" s="11">
        <f t="shared" si="3"/>
        <v>352.9051791651995</v>
      </c>
      <c r="F24" s="11">
        <f t="shared" si="4"/>
        <v>359.0217253780397</v>
      </c>
      <c r="H24" s="9"/>
      <c r="I24" s="9"/>
      <c r="J24" s="9"/>
      <c r="K24" s="9"/>
      <c r="L24" s="9"/>
      <c r="M24" s="9"/>
      <c r="N24" s="9"/>
      <c r="O24" s="9"/>
    </row>
    <row r="25" spans="1:15" ht="12.75">
      <c r="A25" s="22">
        <v>1.59</v>
      </c>
      <c r="B25" s="6">
        <v>1</v>
      </c>
      <c r="C25" s="6">
        <f t="shared" si="2"/>
        <v>0</v>
      </c>
      <c r="D25" s="23">
        <f t="shared" si="5"/>
        <v>357.5217253780397</v>
      </c>
      <c r="E25" s="11"/>
      <c r="F25" s="11">
        <f t="shared" si="4"/>
        <v>357.5217253780397</v>
      </c>
      <c r="H25" s="9"/>
      <c r="I25" s="9"/>
      <c r="J25" s="9"/>
      <c r="K25" s="9"/>
      <c r="L25" s="9"/>
      <c r="M25" s="9"/>
      <c r="N25" s="9"/>
      <c r="O25" s="9"/>
    </row>
    <row r="26" spans="1:15" ht="12.75">
      <c r="A26" s="10"/>
      <c r="B26" s="13"/>
      <c r="C26" s="11"/>
      <c r="D26" s="11"/>
      <c r="E26" s="11"/>
      <c r="F26" s="11"/>
      <c r="H26" s="10"/>
      <c r="I26" s="10"/>
      <c r="J26" s="9"/>
      <c r="K26" s="9"/>
      <c r="L26" s="10"/>
      <c r="M26" s="9"/>
      <c r="N26" s="9"/>
      <c r="O26" s="9"/>
    </row>
    <row r="27" spans="1:15" ht="12.75">
      <c r="A27" s="1" t="s">
        <v>8</v>
      </c>
      <c r="B27" s="13"/>
      <c r="C27" s="11"/>
      <c r="D27" s="11"/>
      <c r="E27" s="11"/>
      <c r="F27" s="11"/>
      <c r="H27" s="10"/>
      <c r="I27" s="14"/>
      <c r="J27" s="10"/>
      <c r="K27" s="10"/>
      <c r="L27" s="14"/>
      <c r="M27" s="9"/>
      <c r="N27" s="9"/>
      <c r="O27" s="9"/>
    </row>
    <row r="28" spans="1:15" ht="12.75">
      <c r="A28" s="9"/>
      <c r="B28" s="9"/>
      <c r="C28" s="9"/>
      <c r="D28" s="9"/>
      <c r="E28" s="9"/>
      <c r="F28" s="9"/>
      <c r="H28" s="10"/>
      <c r="I28" s="14"/>
      <c r="J28" s="14"/>
      <c r="K28" s="14"/>
      <c r="L28" s="14"/>
      <c r="M28" s="9"/>
      <c r="N28" s="9"/>
      <c r="O28" s="9"/>
    </row>
    <row r="29" spans="1:15" ht="12.75">
      <c r="A29" s="10"/>
      <c r="B29" s="13"/>
      <c r="C29" s="11"/>
      <c r="D29" s="11"/>
      <c r="E29" s="11">
        <f>(E6-E18)^2</f>
        <v>0.5052023985496578</v>
      </c>
      <c r="F29" s="11">
        <f>(F6-F18)^2</f>
        <v>7.439843934106656</v>
      </c>
      <c r="H29" s="10"/>
      <c r="I29" s="14"/>
      <c r="J29" s="14"/>
      <c r="K29" s="14"/>
      <c r="L29" s="14"/>
      <c r="M29" s="9"/>
      <c r="N29" s="9"/>
      <c r="O29" s="9"/>
    </row>
    <row r="30" spans="1:15" ht="12.75">
      <c r="A30" s="9"/>
      <c r="B30" s="9"/>
      <c r="C30" s="11"/>
      <c r="D30" s="11"/>
      <c r="E30" s="11">
        <f aca="true" t="shared" si="6" ref="E30:F35">(E7-E19)^2</f>
        <v>27.182962824861253</v>
      </c>
      <c r="F30" s="11">
        <f t="shared" si="6"/>
        <v>23.057321978297463</v>
      </c>
      <c r="H30" s="10"/>
      <c r="I30" s="14"/>
      <c r="J30" s="14"/>
      <c r="K30" s="14"/>
      <c r="L30" s="14"/>
      <c r="M30" s="9"/>
      <c r="N30" s="9"/>
      <c r="O30" s="9"/>
    </row>
    <row r="31" spans="1:15" ht="12.75">
      <c r="A31" s="9"/>
      <c r="B31" s="9"/>
      <c r="C31" s="11"/>
      <c r="D31" s="11"/>
      <c r="E31" s="11">
        <f t="shared" si="6"/>
        <v>2.48720279177673</v>
      </c>
      <c r="F31" s="11">
        <f t="shared" si="6"/>
        <v>8.01578289728466</v>
      </c>
      <c r="H31" s="10"/>
      <c r="I31" s="14"/>
      <c r="J31" s="14"/>
      <c r="K31" s="14"/>
      <c r="L31" s="14"/>
      <c r="M31" s="9"/>
      <c r="N31" s="9"/>
      <c r="O31" s="9"/>
    </row>
    <row r="32" spans="1:15" ht="12.75">
      <c r="A32" s="9"/>
      <c r="B32" s="9"/>
      <c r="C32" s="11"/>
      <c r="D32" s="11"/>
      <c r="E32" s="11">
        <f t="shared" si="6"/>
        <v>53.08289701816598</v>
      </c>
      <c r="F32" s="11">
        <f t="shared" si="6"/>
        <v>12.6105750065872</v>
      </c>
      <c r="H32" s="9"/>
      <c r="I32" s="14"/>
      <c r="J32" s="14"/>
      <c r="K32" s="14"/>
      <c r="L32" s="9"/>
      <c r="M32" s="9"/>
      <c r="N32" s="9"/>
      <c r="O32" s="9"/>
    </row>
    <row r="33" spans="1:15" ht="12.75">
      <c r="A33" s="9"/>
      <c r="B33" s="9"/>
      <c r="C33" s="11"/>
      <c r="D33" s="11"/>
      <c r="E33" s="11">
        <f t="shared" si="6"/>
        <v>71.69525790135951</v>
      </c>
      <c r="F33" s="11">
        <f t="shared" si="6"/>
        <v>12.402549638328999</v>
      </c>
      <c r="H33" s="10"/>
      <c r="I33" s="14"/>
      <c r="J33" s="9"/>
      <c r="K33" s="9"/>
      <c r="L33" s="10"/>
      <c r="M33" s="10"/>
      <c r="N33" s="9"/>
      <c r="O33" s="9"/>
    </row>
    <row r="34" spans="1:15" ht="12.75">
      <c r="A34" s="9"/>
      <c r="B34" s="9"/>
      <c r="C34" s="11"/>
      <c r="D34" s="11"/>
      <c r="E34" s="11">
        <f t="shared" si="6"/>
        <v>126.77978023437532</v>
      </c>
      <c r="F34" s="11">
        <f t="shared" si="6"/>
        <v>0.8714037367808799</v>
      </c>
      <c r="H34" s="10"/>
      <c r="I34" s="14"/>
      <c r="J34" s="10"/>
      <c r="K34" s="10"/>
      <c r="L34" s="14"/>
      <c r="M34" s="14"/>
      <c r="N34" s="9"/>
      <c r="O34" s="9"/>
    </row>
    <row r="35" spans="1:15" ht="12.75">
      <c r="A35" s="9"/>
      <c r="B35" s="9"/>
      <c r="C35" s="11"/>
      <c r="D35" s="11"/>
      <c r="E35" s="11">
        <f t="shared" si="6"/>
        <v>100.72124191376963</v>
      </c>
      <c r="F35" s="11">
        <f t="shared" si="6"/>
        <v>9.85565929733673</v>
      </c>
      <c r="H35" s="10"/>
      <c r="I35" s="14"/>
      <c r="J35" s="14"/>
      <c r="K35" s="14"/>
      <c r="L35" s="14"/>
      <c r="M35" s="14"/>
      <c r="N35" s="9"/>
      <c r="O35" s="9"/>
    </row>
    <row r="36" spans="4:15" ht="12.75">
      <c r="D36" s="11"/>
      <c r="E36" s="11"/>
      <c r="F36" s="11">
        <f>(F13-F25)^2</f>
        <v>4.962236203125777</v>
      </c>
      <c r="H36" s="10"/>
      <c r="I36" s="14"/>
      <c r="J36" s="14"/>
      <c r="K36" s="14"/>
      <c r="L36" s="14"/>
      <c r="M36" s="14"/>
      <c r="N36" s="9"/>
      <c r="O36" s="9"/>
    </row>
    <row r="37" spans="1:15" ht="12.75">
      <c r="A37" s="9"/>
      <c r="B37" s="9"/>
      <c r="C37" s="9"/>
      <c r="H37" s="9"/>
      <c r="I37" s="9"/>
      <c r="J37" s="9"/>
      <c r="K37" s="9"/>
      <c r="L37" s="9"/>
      <c r="M37" s="9"/>
      <c r="N37" s="9"/>
      <c r="O37" s="9"/>
    </row>
    <row r="38" spans="1:15" ht="12.75">
      <c r="A38" s="10"/>
      <c r="B38" s="10"/>
      <c r="C38" s="10"/>
      <c r="D38" s="9"/>
      <c r="E38" s="9"/>
      <c r="F38" s="9"/>
      <c r="H38" s="9"/>
      <c r="I38" s="9"/>
      <c r="J38" s="9"/>
      <c r="K38" s="9"/>
      <c r="L38" s="9"/>
      <c r="M38" s="9"/>
      <c r="N38" s="9"/>
      <c r="O38" s="9"/>
    </row>
    <row r="39" spans="1:15" ht="12.75">
      <c r="A39" s="10"/>
      <c r="B39" s="13"/>
      <c r="C39" s="11"/>
      <c r="D39" s="10"/>
      <c r="E39" s="10"/>
      <c r="F39" s="10"/>
      <c r="H39" s="9"/>
      <c r="I39" s="9"/>
      <c r="J39" s="9"/>
      <c r="K39" s="9"/>
      <c r="L39" s="9"/>
      <c r="M39" s="9"/>
      <c r="N39" s="9"/>
      <c r="O39" s="9"/>
    </row>
    <row r="40" spans="1:15" ht="12.75">
      <c r="A40" s="10"/>
      <c r="B40" s="13"/>
      <c r="C40" s="11"/>
      <c r="D40" s="11"/>
      <c r="E40" s="11"/>
      <c r="F40" s="11"/>
      <c r="H40" s="10"/>
      <c r="I40" s="10"/>
      <c r="J40" s="10"/>
      <c r="K40" s="10"/>
      <c r="L40" s="10"/>
      <c r="M40" s="10"/>
      <c r="N40" s="9"/>
      <c r="O40" s="9"/>
    </row>
    <row r="41" spans="4:15" ht="12.75">
      <c r="D41" s="11"/>
      <c r="E41" s="11"/>
      <c r="F41" s="11"/>
      <c r="H41" s="10"/>
      <c r="I41" s="11"/>
      <c r="J41" s="11"/>
      <c r="K41" s="11"/>
      <c r="L41" s="11"/>
      <c r="M41" s="11"/>
      <c r="N41" s="9"/>
      <c r="O41" s="9"/>
    </row>
    <row r="42" spans="1:15" ht="12.75">
      <c r="A42" s="10"/>
      <c r="B42" s="13"/>
      <c r="C42" s="11"/>
      <c r="D42" s="11"/>
      <c r="E42" s="11"/>
      <c r="F42" s="11"/>
      <c r="H42" s="10"/>
      <c r="I42" s="11"/>
      <c r="J42" s="11"/>
      <c r="K42" s="11"/>
      <c r="L42" s="11"/>
      <c r="M42" s="11"/>
      <c r="N42" s="9"/>
      <c r="O42" s="9"/>
    </row>
    <row r="43" spans="1:15" ht="12.75">
      <c r="A43" s="10"/>
      <c r="B43" s="13"/>
      <c r="C43" s="11"/>
      <c r="D43" s="11"/>
      <c r="E43" s="11"/>
      <c r="F43" s="11"/>
      <c r="H43" s="10"/>
      <c r="I43" s="11"/>
      <c r="J43" s="11"/>
      <c r="K43" s="11"/>
      <c r="L43" s="11"/>
      <c r="M43" s="11"/>
      <c r="N43" s="9"/>
      <c r="O43" s="9"/>
    </row>
    <row r="44" spans="1:15" ht="12.75">
      <c r="A44" s="10"/>
      <c r="B44" s="13"/>
      <c r="C44" s="11"/>
      <c r="D44" s="11"/>
      <c r="E44" s="11"/>
      <c r="F44" s="11"/>
      <c r="H44" s="10"/>
      <c r="I44" s="11"/>
      <c r="J44" s="11"/>
      <c r="K44" s="11"/>
      <c r="L44" s="11"/>
      <c r="M44" s="9"/>
      <c r="N44" s="9"/>
      <c r="O44" s="9"/>
    </row>
    <row r="45" spans="1:15" ht="12.75">
      <c r="A45" s="10"/>
      <c r="B45" s="13"/>
      <c r="C45" s="11"/>
      <c r="D45" s="11"/>
      <c r="E45" s="11"/>
      <c r="F45" s="11"/>
      <c r="H45" s="9"/>
      <c r="I45" s="9"/>
      <c r="J45" s="9"/>
      <c r="K45" s="9"/>
      <c r="L45" s="9"/>
      <c r="M45" s="9"/>
      <c r="N45" s="9"/>
      <c r="O45" s="9"/>
    </row>
    <row r="46" spans="1:15" ht="12.75">
      <c r="A46" s="10"/>
      <c r="B46" s="13"/>
      <c r="C46" s="11"/>
      <c r="D46" s="11"/>
      <c r="E46" s="11"/>
      <c r="F46" s="11"/>
      <c r="H46" s="9"/>
      <c r="I46" s="9"/>
      <c r="J46" s="9"/>
      <c r="K46" s="9"/>
      <c r="L46" s="9"/>
      <c r="M46" s="9"/>
      <c r="N46" s="9"/>
      <c r="O46" s="9"/>
    </row>
    <row r="47" spans="1:15" ht="12.75">
      <c r="A47" s="10"/>
      <c r="B47" s="13"/>
      <c r="C47" s="11"/>
      <c r="D47" s="11"/>
      <c r="E47" s="11"/>
      <c r="F47" s="11"/>
      <c r="H47" s="10"/>
      <c r="I47" s="10"/>
      <c r="J47" s="10"/>
      <c r="K47" s="10"/>
      <c r="L47" s="10"/>
      <c r="M47" s="10"/>
      <c r="N47" s="10"/>
      <c r="O47" s="9"/>
    </row>
    <row r="48" spans="1:15" ht="12.75">
      <c r="A48" s="10"/>
      <c r="B48" s="13"/>
      <c r="C48" s="11"/>
      <c r="D48" s="11"/>
      <c r="E48" s="11"/>
      <c r="F48" s="11"/>
      <c r="H48" s="10"/>
      <c r="I48" s="11"/>
      <c r="J48" s="11"/>
      <c r="K48" s="11"/>
      <c r="L48" s="11"/>
      <c r="M48" s="11"/>
      <c r="N48" s="14"/>
      <c r="O48" s="9"/>
    </row>
    <row r="49" spans="1:15" ht="12.75">
      <c r="A49" s="9"/>
      <c r="B49" s="9"/>
      <c r="C49" s="9"/>
      <c r="D49" s="9"/>
      <c r="E49" s="9"/>
      <c r="F49" s="9"/>
      <c r="H49" s="10"/>
      <c r="I49" s="11"/>
      <c r="J49" s="11"/>
      <c r="K49" s="11"/>
      <c r="L49" s="11"/>
      <c r="M49" s="11"/>
      <c r="N49" s="14"/>
      <c r="O49" s="9"/>
    </row>
    <row r="50" spans="1:15" ht="12.75">
      <c r="A50" s="9"/>
      <c r="B50" s="9"/>
      <c r="C50" s="9"/>
      <c r="D50" s="9"/>
      <c r="E50" s="9"/>
      <c r="F50" s="9"/>
      <c r="H50" s="10"/>
      <c r="I50" s="11"/>
      <c r="J50" s="11"/>
      <c r="K50" s="11"/>
      <c r="L50" s="11"/>
      <c r="M50" s="11"/>
      <c r="N50" s="14"/>
      <c r="O50" s="9"/>
    </row>
    <row r="51" spans="1:15" ht="12.75">
      <c r="A51" s="9"/>
      <c r="B51" s="9"/>
      <c r="C51" s="11"/>
      <c r="D51" s="11"/>
      <c r="E51" s="11"/>
      <c r="F51" s="11"/>
      <c r="H51" s="9"/>
      <c r="I51" s="9"/>
      <c r="J51" s="9"/>
      <c r="K51" s="9"/>
      <c r="L51" s="9"/>
      <c r="M51" s="9"/>
      <c r="N51" s="9"/>
      <c r="O51" s="9"/>
    </row>
    <row r="52" spans="1:15" ht="12.75">
      <c r="A52" s="9"/>
      <c r="B52" s="9"/>
      <c r="C52" s="11"/>
      <c r="D52" s="11"/>
      <c r="E52" s="11"/>
      <c r="F52" s="11"/>
      <c r="H52" s="9"/>
      <c r="I52" s="9"/>
      <c r="J52" s="9"/>
      <c r="K52" s="9"/>
      <c r="L52" s="9"/>
      <c r="M52" s="9"/>
      <c r="N52" s="9"/>
      <c r="O52" s="9"/>
    </row>
    <row r="53" spans="1:15" ht="12.75">
      <c r="A53" s="9"/>
      <c r="B53" s="9"/>
      <c r="C53" s="11"/>
      <c r="D53" s="11"/>
      <c r="E53" s="11"/>
      <c r="F53" s="11"/>
      <c r="H53" s="9"/>
      <c r="I53" s="9"/>
      <c r="J53" s="9"/>
      <c r="K53" s="9"/>
      <c r="L53" s="9"/>
      <c r="M53" s="9"/>
      <c r="N53" s="9"/>
      <c r="O53" s="9"/>
    </row>
    <row r="54" spans="1:15" ht="12.75">
      <c r="A54" s="9"/>
      <c r="B54" s="9"/>
      <c r="C54" s="11"/>
      <c r="D54" s="11"/>
      <c r="E54" s="11"/>
      <c r="F54" s="11"/>
      <c r="H54" s="10"/>
      <c r="I54" s="10"/>
      <c r="J54" s="10"/>
      <c r="K54" s="10"/>
      <c r="L54" s="10"/>
      <c r="M54" s="10"/>
      <c r="N54" s="9"/>
      <c r="O54" s="9"/>
    </row>
    <row r="55" spans="1:15" ht="12.75">
      <c r="A55" s="9"/>
      <c r="B55" s="9"/>
      <c r="C55" s="11"/>
      <c r="D55" s="11"/>
      <c r="E55" s="11"/>
      <c r="F55" s="11"/>
      <c r="H55" s="10"/>
      <c r="I55" s="11"/>
      <c r="J55" s="11"/>
      <c r="K55" s="11"/>
      <c r="L55" s="11"/>
      <c r="M55" s="11"/>
      <c r="N55" s="9"/>
      <c r="O55" s="9"/>
    </row>
    <row r="56" spans="1:15" ht="12.75">
      <c r="A56" s="9"/>
      <c r="B56" s="9"/>
      <c r="C56" s="11"/>
      <c r="D56" s="11"/>
      <c r="E56" s="11"/>
      <c r="F56" s="11"/>
      <c r="H56" s="10"/>
      <c r="I56" s="11"/>
      <c r="J56" s="11"/>
      <c r="K56" s="11"/>
      <c r="L56" s="11"/>
      <c r="M56" s="11"/>
      <c r="N56" s="9"/>
      <c r="O56" s="9"/>
    </row>
    <row r="57" spans="1:15" ht="12.75">
      <c r="A57" s="9"/>
      <c r="B57" s="9"/>
      <c r="C57" s="11"/>
      <c r="D57" s="11"/>
      <c r="E57" s="11"/>
      <c r="F57" s="11"/>
      <c r="H57" s="10"/>
      <c r="I57" s="11"/>
      <c r="J57" s="11"/>
      <c r="K57" s="11"/>
      <c r="L57" s="11"/>
      <c r="M57" s="11"/>
      <c r="N57" s="9"/>
      <c r="O57" s="9"/>
    </row>
    <row r="58" spans="1:15" ht="12.75">
      <c r="A58" s="9"/>
      <c r="B58" s="9"/>
      <c r="C58" s="11"/>
      <c r="D58" s="11"/>
      <c r="E58" s="11"/>
      <c r="F58" s="11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11"/>
      <c r="D59" s="11"/>
      <c r="E59" s="11"/>
      <c r="F59" s="11"/>
      <c r="H59" s="9"/>
      <c r="I59" s="9"/>
      <c r="J59" s="9"/>
      <c r="K59" s="9"/>
      <c r="L59" s="9"/>
      <c r="M59" s="9"/>
      <c r="N59" s="9"/>
      <c r="O59" s="9"/>
    </row>
    <row r="60" spans="1:13" ht="12.75">
      <c r="A60" s="9"/>
      <c r="B60" s="9"/>
      <c r="C60" s="9"/>
      <c r="D60" s="9"/>
      <c r="E60" s="9"/>
      <c r="F60" s="9"/>
      <c r="H60" s="10"/>
      <c r="I60" s="10"/>
      <c r="J60" s="10"/>
      <c r="K60" s="10"/>
      <c r="L60" s="10"/>
      <c r="M60" s="9"/>
    </row>
    <row r="61" spans="8:13" ht="12.75">
      <c r="H61" s="10"/>
      <c r="I61" s="11"/>
      <c r="J61" s="11"/>
      <c r="K61" s="11"/>
      <c r="L61" s="11"/>
      <c r="M61" s="9"/>
    </row>
    <row r="62" spans="8:13" ht="12.75">
      <c r="H62" s="10"/>
      <c r="I62" s="11"/>
      <c r="J62" s="11"/>
      <c r="K62" s="11"/>
      <c r="L62" s="11"/>
      <c r="M62" s="9"/>
    </row>
    <row r="63" spans="8:13" ht="12.75">
      <c r="H63" s="10"/>
      <c r="I63" s="11"/>
      <c r="J63" s="11"/>
      <c r="K63" s="11"/>
      <c r="L63" s="11"/>
      <c r="M63" s="9"/>
    </row>
    <row r="64" spans="8:13" ht="12.75">
      <c r="H64" s="10"/>
      <c r="I64" s="11"/>
      <c r="J64" s="11"/>
      <c r="K64" s="11"/>
      <c r="L64" s="11"/>
      <c r="M64" s="9"/>
    </row>
    <row r="65" spans="8:13" ht="12.75">
      <c r="H65" s="10"/>
      <c r="I65" s="11"/>
      <c r="J65" s="11"/>
      <c r="K65" s="11"/>
      <c r="L65" s="11"/>
      <c r="M65" s="9"/>
    </row>
    <row r="66" spans="8:13" ht="12.75">
      <c r="H66" s="10"/>
      <c r="I66" s="11"/>
      <c r="J66" s="11"/>
      <c r="K66" s="11"/>
      <c r="L66" s="11"/>
      <c r="M66" s="9"/>
    </row>
    <row r="67" spans="8:13" ht="12.75">
      <c r="H67" s="10"/>
      <c r="I67" s="11"/>
      <c r="J67" s="11"/>
      <c r="K67" s="11"/>
      <c r="L67" s="11"/>
      <c r="M67" s="9"/>
    </row>
    <row r="68" spans="8:13" ht="12.75">
      <c r="H68" s="10"/>
      <c r="I68" s="11"/>
      <c r="J68" s="11"/>
      <c r="K68" s="11"/>
      <c r="L68" s="11"/>
      <c r="M68" s="9"/>
    </row>
    <row r="69" spans="8:13" ht="12.75">
      <c r="H69" s="10"/>
      <c r="I69" s="11"/>
      <c r="J69" s="11"/>
      <c r="K69" s="11"/>
      <c r="L69" s="11"/>
      <c r="M69" s="9"/>
    </row>
    <row r="70" spans="8:13" ht="12.75">
      <c r="H70" s="9"/>
      <c r="I70" s="9"/>
      <c r="J70" s="9"/>
      <c r="K70" s="9"/>
      <c r="L70" s="9"/>
      <c r="M70" s="9"/>
    </row>
    <row r="71" spans="8:13" ht="12.75">
      <c r="H71" s="9"/>
      <c r="I71" s="9"/>
      <c r="J71" s="9"/>
      <c r="K71" s="9"/>
      <c r="L71" s="9"/>
      <c r="M71" s="9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1"/>
  <sheetViews>
    <sheetView workbookViewId="0" topLeftCell="A1">
      <selection activeCell="E1" sqref="E1"/>
    </sheetView>
  </sheetViews>
  <sheetFormatPr defaultColWidth="9.140625" defaultRowHeight="12.75"/>
  <cols>
    <col min="3" max="3" width="11.7109375" style="0" customWidth="1"/>
    <col min="7" max="7" width="5.421875" style="0" customWidth="1"/>
    <col min="8" max="8" width="9.00390625" style="0" customWidth="1"/>
    <col min="9" max="9" width="8.421875" style="0" customWidth="1"/>
    <col min="10" max="11" width="10.00390625" style="0" customWidth="1"/>
    <col min="12" max="13" width="8.421875" style="0" customWidth="1"/>
    <col min="20" max="20" width="11.28125" style="0" customWidth="1"/>
    <col min="21" max="21" width="8.00390625" style="0" customWidth="1"/>
  </cols>
  <sheetData>
    <row r="1" ht="12.75">
      <c r="A1" s="1" t="s">
        <v>46</v>
      </c>
    </row>
    <row r="3" spans="1:18" ht="12.75">
      <c r="A3" s="2" t="s">
        <v>47</v>
      </c>
      <c r="B3" s="3"/>
      <c r="C3" s="3"/>
      <c r="D3" s="3"/>
      <c r="E3" s="3"/>
      <c r="F3" s="3"/>
      <c r="H3" s="1" t="s">
        <v>16</v>
      </c>
      <c r="I3" s="9"/>
      <c r="J3" s="9"/>
      <c r="K3" s="9"/>
      <c r="L3" s="9"/>
      <c r="M3" s="9"/>
      <c r="R3" s="1" t="s">
        <v>70</v>
      </c>
    </row>
    <row r="4" spans="1:13" ht="12.75">
      <c r="A4" s="9"/>
      <c r="B4" s="9"/>
      <c r="C4" s="9"/>
      <c r="D4" s="9"/>
      <c r="E4" s="9"/>
      <c r="F4" s="9"/>
      <c r="H4" s="9"/>
      <c r="I4" s="10"/>
      <c r="J4" s="10"/>
      <c r="K4" s="10"/>
      <c r="L4" s="10"/>
      <c r="M4" s="9"/>
    </row>
    <row r="5" spans="1:25" ht="15.75">
      <c r="A5" s="3" t="s">
        <v>2</v>
      </c>
      <c r="B5" s="3" t="s">
        <v>49</v>
      </c>
      <c r="C5" s="3" t="s">
        <v>48</v>
      </c>
      <c r="D5" s="10" t="s">
        <v>0</v>
      </c>
      <c r="E5" s="10" t="s">
        <v>52</v>
      </c>
      <c r="F5" s="10" t="s">
        <v>53</v>
      </c>
      <c r="H5" t="s">
        <v>17</v>
      </c>
      <c r="I5" s="17">
        <v>1</v>
      </c>
      <c r="J5" s="11"/>
      <c r="K5" s="19"/>
      <c r="L5" s="20"/>
      <c r="M5" s="9"/>
      <c r="R5" t="s">
        <v>2</v>
      </c>
      <c r="S5" s="3" t="s">
        <v>6</v>
      </c>
      <c r="T5" t="s">
        <v>48</v>
      </c>
      <c r="U5" s="3" t="s">
        <v>49</v>
      </c>
      <c r="V5" t="s">
        <v>71</v>
      </c>
      <c r="W5" s="3" t="s">
        <v>72</v>
      </c>
      <c r="X5" t="s">
        <v>73</v>
      </c>
      <c r="Y5" s="3" t="s">
        <v>74</v>
      </c>
    </row>
    <row r="6" spans="1:25" ht="15.75">
      <c r="A6" s="3">
        <v>2</v>
      </c>
      <c r="B6" s="3">
        <v>1</v>
      </c>
      <c r="C6" s="3" t="s">
        <v>50</v>
      </c>
      <c r="D6" s="25">
        <v>420</v>
      </c>
      <c r="E6" s="27">
        <f>M20</f>
        <v>433.70881534415764</v>
      </c>
      <c r="F6" s="11">
        <f>(D6-E6)^2</f>
        <v>187.931618140212</v>
      </c>
      <c r="H6" t="s">
        <v>20</v>
      </c>
      <c r="I6" s="26">
        <f>2/3</f>
        <v>0.6666666666666666</v>
      </c>
      <c r="J6" s="11"/>
      <c r="K6" s="19"/>
      <c r="L6" s="20"/>
      <c r="M6" s="9"/>
      <c r="R6" s="3">
        <v>2</v>
      </c>
      <c r="S6" s="4">
        <f>LOG(R6,2)</f>
        <v>1</v>
      </c>
      <c r="T6" s="3" t="s">
        <v>51</v>
      </c>
      <c r="U6" s="3">
        <v>2</v>
      </c>
      <c r="V6" s="5">
        <f>D9</f>
        <v>449</v>
      </c>
      <c r="W6" s="5">
        <f>E9</f>
        <v>454.5804857029601</v>
      </c>
      <c r="X6" s="5">
        <f>Experiment2!D9</f>
        <v>913</v>
      </c>
      <c r="Y6" s="5">
        <f>Experiment2!E9</f>
        <v>1042.6825962891558</v>
      </c>
    </row>
    <row r="7" spans="1:25" ht="12.75">
      <c r="A7" s="3">
        <v>2</v>
      </c>
      <c r="B7" s="3">
        <v>1</v>
      </c>
      <c r="C7" s="3" t="s">
        <v>51</v>
      </c>
      <c r="D7" s="25">
        <v>436</v>
      </c>
      <c r="E7" s="27">
        <f>N20</f>
        <v>433.70881534415764</v>
      </c>
      <c r="F7" s="11">
        <f aca="true" t="shared" si="0" ref="F7:F17">(D7-E7)^2</f>
        <v>5.249527127167463</v>
      </c>
      <c r="H7" t="s">
        <v>18</v>
      </c>
      <c r="I7" s="17">
        <v>1.5</v>
      </c>
      <c r="J7" s="11"/>
      <c r="K7" s="11"/>
      <c r="L7" s="11"/>
      <c r="M7" s="11"/>
      <c r="R7" s="3">
        <v>4</v>
      </c>
      <c r="S7" s="4">
        <f aca="true" t="shared" si="1" ref="S7:S17">LOG(R7,2)</f>
        <v>2</v>
      </c>
      <c r="T7" s="3" t="s">
        <v>51</v>
      </c>
      <c r="U7" s="3">
        <v>2</v>
      </c>
      <c r="V7" s="5">
        <f>D13</f>
        <v>739</v>
      </c>
      <c r="W7" s="5">
        <f>E13</f>
        <v>772.4619573551502</v>
      </c>
      <c r="X7" s="5">
        <f>Experiment2!D13</f>
        <v>1298</v>
      </c>
      <c r="Y7" s="5">
        <f>Experiment2!E13</f>
        <v>1264.281641140457</v>
      </c>
    </row>
    <row r="8" spans="1:25" ht="15.75">
      <c r="A8" s="3">
        <v>2</v>
      </c>
      <c r="B8" s="3">
        <v>2</v>
      </c>
      <c r="C8" s="3" t="s">
        <v>50</v>
      </c>
      <c r="D8" s="25">
        <v>425</v>
      </c>
      <c r="E8" s="27">
        <f>M21</f>
        <v>454.5804857029601</v>
      </c>
      <c r="F8" s="11">
        <f t="shared" si="0"/>
        <v>875.0051344230279</v>
      </c>
      <c r="H8" t="s">
        <v>21</v>
      </c>
      <c r="I8" s="18">
        <v>50</v>
      </c>
      <c r="J8" s="12"/>
      <c r="K8" s="12"/>
      <c r="L8" s="12"/>
      <c r="M8" s="12"/>
      <c r="R8" s="3">
        <v>6</v>
      </c>
      <c r="S8" s="4">
        <f t="shared" si="1"/>
        <v>2.584962500721156</v>
      </c>
      <c r="T8" s="3" t="s">
        <v>51</v>
      </c>
      <c r="U8" s="3">
        <v>2</v>
      </c>
      <c r="V8" s="5">
        <f>D17</f>
        <v>900</v>
      </c>
      <c r="W8" s="5">
        <f>E17</f>
        <v>902.5237851682564</v>
      </c>
      <c r="X8" s="5">
        <f>Experiment2!D17</f>
        <v>1463</v>
      </c>
      <c r="Y8" s="5">
        <f>Experiment2!E17</f>
        <v>1434.3205687652198</v>
      </c>
    </row>
    <row r="9" spans="1:25" ht="15.75">
      <c r="A9" s="3">
        <v>2</v>
      </c>
      <c r="B9" s="3">
        <v>2</v>
      </c>
      <c r="C9" s="3" t="s">
        <v>51</v>
      </c>
      <c r="D9" s="25">
        <v>449</v>
      </c>
      <c r="E9" s="27">
        <f>N21</f>
        <v>454.5804857029601</v>
      </c>
      <c r="F9" s="11">
        <f t="shared" si="0"/>
        <v>31.14182068094228</v>
      </c>
      <c r="H9" t="s">
        <v>24</v>
      </c>
      <c r="I9" s="26">
        <v>0.6167549018818138</v>
      </c>
      <c r="R9" s="3">
        <v>2</v>
      </c>
      <c r="S9" s="4">
        <f>LOG(R9,2)</f>
        <v>1</v>
      </c>
      <c r="T9" s="3" t="s">
        <v>51</v>
      </c>
      <c r="U9" s="3">
        <v>1</v>
      </c>
      <c r="V9" s="5">
        <f>D7</f>
        <v>436</v>
      </c>
      <c r="W9" s="5">
        <f>E7</f>
        <v>433.70881534415764</v>
      </c>
      <c r="X9" s="5">
        <f>Experiment2!D7</f>
        <v>874</v>
      </c>
      <c r="Y9" s="5">
        <f>Experiment2!E7</f>
        <v>885.988408970339</v>
      </c>
    </row>
    <row r="10" spans="1:25" ht="12.75">
      <c r="A10" s="3">
        <v>4</v>
      </c>
      <c r="B10" s="3">
        <v>1</v>
      </c>
      <c r="C10" s="3" t="s">
        <v>50</v>
      </c>
      <c r="D10" s="25">
        <v>535</v>
      </c>
      <c r="E10" s="27">
        <f>M22</f>
        <v>480.87714253448235</v>
      </c>
      <c r="F10" s="11">
        <f t="shared" si="0"/>
        <v>2929.28370023274</v>
      </c>
      <c r="H10" t="s">
        <v>19</v>
      </c>
      <c r="I10" s="18">
        <v>591.5537404484943</v>
      </c>
      <c r="R10" s="3">
        <v>4</v>
      </c>
      <c r="S10" s="4">
        <f t="shared" si="1"/>
        <v>2</v>
      </c>
      <c r="T10" s="3" t="s">
        <v>51</v>
      </c>
      <c r="U10" s="3">
        <v>1</v>
      </c>
      <c r="V10" s="5">
        <f>D11</f>
        <v>675</v>
      </c>
      <c r="W10" s="5">
        <f>E11</f>
        <v>686.0115065951005</v>
      </c>
      <c r="X10" s="5">
        <f>Experiment2!D11</f>
        <v>1114</v>
      </c>
      <c r="Y10" s="5">
        <f>Experiment2!E11</f>
        <v>1042.6825962891558</v>
      </c>
    </row>
    <row r="11" spans="1:25" ht="15.75">
      <c r="A11" s="3">
        <v>4</v>
      </c>
      <c r="B11" s="3">
        <v>1</v>
      </c>
      <c r="C11" s="3" t="s">
        <v>51</v>
      </c>
      <c r="D11" s="25">
        <v>675</v>
      </c>
      <c r="E11" s="27">
        <f>N22</f>
        <v>686.0115065951005</v>
      </c>
      <c r="F11" s="11">
        <f t="shared" si="0"/>
        <v>121.25327749394211</v>
      </c>
      <c r="H11" t="s">
        <v>22</v>
      </c>
      <c r="I11" s="18">
        <v>322.5710315758455</v>
      </c>
      <c r="K11" s="3"/>
      <c r="L11" s="3"/>
      <c r="R11" s="3">
        <v>6</v>
      </c>
      <c r="S11" s="4">
        <f t="shared" si="1"/>
        <v>2.584962500721156</v>
      </c>
      <c r="T11" s="3" t="s">
        <v>51</v>
      </c>
      <c r="U11" s="3">
        <v>1</v>
      </c>
      <c r="V11" s="5">
        <f>D15</f>
        <v>833</v>
      </c>
      <c r="W11" s="5">
        <f>E15</f>
        <v>789.2416477408165</v>
      </c>
      <c r="X11" s="5">
        <f>Experiment2!D15</f>
        <v>1138</v>
      </c>
      <c r="Y11" s="5">
        <f>Experiment2!E15</f>
        <v>1162.9182750783143</v>
      </c>
    </row>
    <row r="12" spans="1:25" ht="12.75">
      <c r="A12" s="3">
        <v>4</v>
      </c>
      <c r="B12" s="3">
        <v>2</v>
      </c>
      <c r="C12" s="3" t="s">
        <v>50</v>
      </c>
      <c r="D12" s="25">
        <v>544</v>
      </c>
      <c r="E12" s="27">
        <f>M23</f>
        <v>514.008854018379</v>
      </c>
      <c r="F12" s="11">
        <f t="shared" si="0"/>
        <v>899.4688372909017</v>
      </c>
      <c r="H12" t="s">
        <v>14</v>
      </c>
      <c r="I12" s="7">
        <f>SQRT(AVERAGE(F6:F17))</f>
        <v>27.84681831826568</v>
      </c>
      <c r="J12" s="3"/>
      <c r="K12" s="4"/>
      <c r="L12" s="4"/>
      <c r="R12" s="3">
        <v>2</v>
      </c>
      <c r="S12" s="4">
        <f>LOG(R12,2)</f>
        <v>1</v>
      </c>
      <c r="T12" s="3" t="s">
        <v>50</v>
      </c>
      <c r="U12" s="3">
        <v>2</v>
      </c>
      <c r="V12" s="5">
        <f>D8</f>
        <v>425</v>
      </c>
      <c r="W12" s="5">
        <f>E8</f>
        <v>454.5804857029601</v>
      </c>
      <c r="X12" s="5">
        <f>Experiment2!D8</f>
        <v>632</v>
      </c>
      <c r="Y12" s="5">
        <f>Experiment2!E8</f>
        <v>578.8942076750787</v>
      </c>
    </row>
    <row r="13" spans="1:25" ht="12.75">
      <c r="A13" s="3">
        <v>4</v>
      </c>
      <c r="B13" s="3">
        <v>2</v>
      </c>
      <c r="C13" s="3" t="s">
        <v>51</v>
      </c>
      <c r="D13" s="25">
        <v>739</v>
      </c>
      <c r="E13" s="27">
        <f>N23</f>
        <v>772.4619573551502</v>
      </c>
      <c r="F13" s="11">
        <f t="shared" si="0"/>
        <v>1119.702590037888</v>
      </c>
      <c r="H13" t="s">
        <v>15</v>
      </c>
      <c r="I13" s="8">
        <f>CORREL(E6:E17,D6:D17)</f>
        <v>0.9842345828283073</v>
      </c>
      <c r="J13" s="4"/>
      <c r="K13" s="4"/>
      <c r="L13" s="4"/>
      <c r="R13" s="3">
        <v>4</v>
      </c>
      <c r="S13" s="4">
        <f t="shared" si="1"/>
        <v>2</v>
      </c>
      <c r="T13" s="3" t="s">
        <v>50</v>
      </c>
      <c r="U13" s="3">
        <v>2</v>
      </c>
      <c r="V13" s="5">
        <f>D12</f>
        <v>544</v>
      </c>
      <c r="W13" s="5">
        <f>E12</f>
        <v>514.008854018379</v>
      </c>
      <c r="X13" s="5">
        <f>Experiment2!D12</f>
        <v>583</v>
      </c>
      <c r="Y13" s="5">
        <f>Experiment2!E12</f>
        <v>608.3858118912653</v>
      </c>
    </row>
    <row r="14" spans="1:25" ht="12.75">
      <c r="A14" s="3">
        <v>6</v>
      </c>
      <c r="B14" s="3">
        <v>1</v>
      </c>
      <c r="C14" s="3" t="s">
        <v>50</v>
      </c>
      <c r="D14" s="11">
        <v>521</v>
      </c>
      <c r="E14" s="27">
        <f>M24</f>
        <v>520.4395881066265</v>
      </c>
      <c r="F14" s="11">
        <f t="shared" si="0"/>
        <v>0.31406149023446894</v>
      </c>
      <c r="J14" s="4"/>
      <c r="K14" s="4"/>
      <c r="L14" s="4"/>
      <c r="R14" s="3">
        <v>6</v>
      </c>
      <c r="S14" s="4">
        <f t="shared" si="1"/>
        <v>2.584962500721156</v>
      </c>
      <c r="T14" s="3" t="s">
        <v>50</v>
      </c>
      <c r="U14" s="3">
        <v>2</v>
      </c>
      <c r="V14" s="5">
        <f>D16</f>
        <v>529</v>
      </c>
      <c r="W14" s="5">
        <f>E16</f>
        <v>563.8544119800436</v>
      </c>
      <c r="X14" s="5">
        <f>Experiment2!D16</f>
        <v>589</v>
      </c>
      <c r="Y14" s="5">
        <f>Experiment2!E16</f>
        <v>631.0155157251395</v>
      </c>
    </row>
    <row r="15" spans="1:25" ht="12.75">
      <c r="A15" s="3">
        <v>6</v>
      </c>
      <c r="B15" s="3">
        <v>1</v>
      </c>
      <c r="C15" s="3" t="s">
        <v>51</v>
      </c>
      <c r="D15" s="11">
        <v>833</v>
      </c>
      <c r="E15" s="27">
        <f>N24</f>
        <v>789.2416477408165</v>
      </c>
      <c r="F15" s="11">
        <f t="shared" si="0"/>
        <v>1914.793392438793</v>
      </c>
      <c r="H15" s="1" t="s">
        <v>23</v>
      </c>
      <c r="J15" s="4"/>
      <c r="K15" s="5"/>
      <c r="L15" s="5"/>
      <c r="R15" s="3">
        <v>2</v>
      </c>
      <c r="S15" s="4">
        <f>LOG(R15,2)</f>
        <v>1</v>
      </c>
      <c r="T15" s="3" t="s">
        <v>50</v>
      </c>
      <c r="U15" s="3">
        <v>1</v>
      </c>
      <c r="V15" s="5">
        <f>D6</f>
        <v>420</v>
      </c>
      <c r="W15" s="5">
        <f>E6</f>
        <v>433.70881534415764</v>
      </c>
      <c r="X15" s="5">
        <f>Experiment2!D6</f>
        <v>554</v>
      </c>
      <c r="Y15" s="5">
        <f>Experiment2!E6</f>
        <v>558.0404943457434</v>
      </c>
    </row>
    <row r="16" spans="1:25" ht="12.75">
      <c r="A16" s="3">
        <v>6</v>
      </c>
      <c r="B16" s="3">
        <v>2</v>
      </c>
      <c r="C16" s="3" t="s">
        <v>50</v>
      </c>
      <c r="D16" s="11">
        <v>529</v>
      </c>
      <c r="E16" s="27">
        <f>M25</f>
        <v>563.8544119800436</v>
      </c>
      <c r="F16" s="11">
        <f t="shared" si="0"/>
        <v>1214.8300344746035</v>
      </c>
      <c r="J16" s="5"/>
      <c r="R16" s="3">
        <v>4</v>
      </c>
      <c r="S16" s="4">
        <f t="shared" si="1"/>
        <v>2</v>
      </c>
      <c r="T16" s="3" t="s">
        <v>50</v>
      </c>
      <c r="U16" s="3">
        <v>1</v>
      </c>
      <c r="V16" s="5">
        <f>D10</f>
        <v>535</v>
      </c>
      <c r="W16" s="5">
        <f>E10</f>
        <v>480.87714253448235</v>
      </c>
      <c r="X16" s="5">
        <f>Experiment2!D10</f>
        <v>598</v>
      </c>
      <c r="Y16" s="5">
        <f>Experiment2!E10</f>
        <v>578.8942076750787</v>
      </c>
    </row>
    <row r="17" spans="1:25" ht="12.75">
      <c r="A17" s="3">
        <v>6</v>
      </c>
      <c r="B17" s="3">
        <v>2</v>
      </c>
      <c r="C17" s="3" t="s">
        <v>51</v>
      </c>
      <c r="D17" s="11">
        <v>900</v>
      </c>
      <c r="E17" s="27">
        <f>N25</f>
        <v>902.5237851682564</v>
      </c>
      <c r="F17" s="11">
        <f t="shared" si="0"/>
        <v>6.369491575510891</v>
      </c>
      <c r="I17" s="1" t="s">
        <v>56</v>
      </c>
      <c r="K17" s="9"/>
      <c r="L17" s="9"/>
      <c r="M17" s="9"/>
      <c r="N17" s="10"/>
      <c r="O17" s="9"/>
      <c r="R17" s="3">
        <v>6</v>
      </c>
      <c r="S17" s="4">
        <f t="shared" si="1"/>
        <v>2.584962500721156</v>
      </c>
      <c r="T17" s="3" t="s">
        <v>50</v>
      </c>
      <c r="U17" s="3">
        <v>1</v>
      </c>
      <c r="V17" s="5">
        <f>D14</f>
        <v>521</v>
      </c>
      <c r="W17" s="5">
        <f>E14</f>
        <v>520.4395881066265</v>
      </c>
      <c r="X17" s="5">
        <f>Experiment2!D14</f>
        <v>627</v>
      </c>
      <c r="Y17" s="5">
        <f>Experiment2!E14</f>
        <v>594.8958247122544</v>
      </c>
    </row>
    <row r="18" spans="1:15" ht="12.75">
      <c r="A18" s="24"/>
      <c r="B18" s="14"/>
      <c r="C18" s="14"/>
      <c r="D18" s="25"/>
      <c r="E18" s="11"/>
      <c r="F18" s="11"/>
      <c r="H18" s="9"/>
      <c r="I18" s="9"/>
      <c r="J18" s="9"/>
      <c r="K18" s="9"/>
      <c r="L18" s="9"/>
      <c r="M18" s="9"/>
      <c r="N18" s="9"/>
      <c r="O18" s="9"/>
    </row>
    <row r="19" spans="1:15" ht="15.75">
      <c r="A19" s="24"/>
      <c r="B19" s="14"/>
      <c r="C19" s="14"/>
      <c r="D19" s="25"/>
      <c r="E19" s="11"/>
      <c r="F19" s="11"/>
      <c r="H19" s="9"/>
      <c r="I19" s="14" t="s">
        <v>2</v>
      </c>
      <c r="J19" s="3" t="s">
        <v>49</v>
      </c>
      <c r="K19" s="10" t="s">
        <v>55</v>
      </c>
      <c r="L19" s="10" t="s">
        <v>54</v>
      </c>
      <c r="M19" s="3" t="s">
        <v>44</v>
      </c>
      <c r="N19" s="3" t="s">
        <v>45</v>
      </c>
      <c r="O19" s="9"/>
    </row>
    <row r="20" spans="1:15" ht="12.75">
      <c r="A20" s="24"/>
      <c r="B20" s="14"/>
      <c r="C20" s="14"/>
      <c r="D20" s="25"/>
      <c r="E20" s="11"/>
      <c r="F20" s="11"/>
      <c r="H20" s="10"/>
      <c r="I20" s="11">
        <v>2</v>
      </c>
      <c r="J20" s="11">
        <v>1</v>
      </c>
      <c r="K20" s="14">
        <f aca="true" t="shared" si="2" ref="K20:K25">($I$5*$I$6)*($I$7-LN(I20))+($I$5*(1-$I$6))*($I$7-LN(J20))</f>
        <v>1.0379018796267032</v>
      </c>
      <c r="L20" s="11">
        <f aca="true" t="shared" si="3" ref="L20:L25">$I$10*EXP(-K20)</f>
        <v>209.52659034260702</v>
      </c>
      <c r="M20" s="11">
        <f aca="true" t="shared" si="4" ref="M20:M25">$I$9*($I$8+$I$11)+(1-$I$9)*($I$11+L20)</f>
        <v>433.70881534415764</v>
      </c>
      <c r="N20" s="11">
        <f>$I$9*($I$8+$I$11)+(1-$I$9)*($I$11+L20)</f>
        <v>433.70881534415764</v>
      </c>
      <c r="O20" s="9"/>
    </row>
    <row r="21" spans="1:15" ht="12.75">
      <c r="A21" s="24"/>
      <c r="B21" s="14"/>
      <c r="C21" s="14"/>
      <c r="D21" s="25"/>
      <c r="E21" s="11"/>
      <c r="F21" s="11"/>
      <c r="H21" s="10"/>
      <c r="I21" s="5">
        <v>2</v>
      </c>
      <c r="J21" s="11">
        <v>2</v>
      </c>
      <c r="K21" s="14">
        <f t="shared" si="2"/>
        <v>0.8068528194400547</v>
      </c>
      <c r="L21" s="11">
        <f t="shared" si="3"/>
        <v>263.9869616853504</v>
      </c>
      <c r="M21" s="11">
        <f t="shared" si="4"/>
        <v>454.5804857029601</v>
      </c>
      <c r="N21" s="11">
        <f>$I$9*($I$8+$I$11)+(1-$I$9)*($I$11+L21)</f>
        <v>454.5804857029601</v>
      </c>
      <c r="O21" s="9"/>
    </row>
    <row r="22" spans="1:15" ht="12.75">
      <c r="A22" s="24"/>
      <c r="B22" s="14"/>
      <c r="C22" s="14"/>
      <c r="D22" s="25"/>
      <c r="E22" s="11"/>
      <c r="F22" s="11"/>
      <c r="H22" s="10"/>
      <c r="I22" s="11">
        <v>4</v>
      </c>
      <c r="J22" s="11">
        <v>1</v>
      </c>
      <c r="K22" s="14">
        <f t="shared" si="2"/>
        <v>0.5758037592534063</v>
      </c>
      <c r="L22" s="11">
        <f t="shared" si="3"/>
        <v>332.60272992516434</v>
      </c>
      <c r="M22" s="11">
        <f t="shared" si="4"/>
        <v>480.87714253448235</v>
      </c>
      <c r="N22" s="11">
        <f>$I$9*($I$8+$I$11+L22)+(1-$I$9)*($I$11+L22)</f>
        <v>686.0115065951005</v>
      </c>
      <c r="O22" s="9"/>
    </row>
    <row r="23" spans="1:15" ht="12.75">
      <c r="A23" s="24"/>
      <c r="B23" s="14"/>
      <c r="C23" s="14"/>
      <c r="D23" s="25"/>
      <c r="E23" s="11"/>
      <c r="F23" s="11"/>
      <c r="H23" s="10"/>
      <c r="I23" s="11">
        <v>4</v>
      </c>
      <c r="J23" s="11">
        <v>2</v>
      </c>
      <c r="K23" s="14">
        <f t="shared" si="2"/>
        <v>0.3447546990667579</v>
      </c>
      <c r="L23" s="11">
        <f t="shared" si="3"/>
        <v>419.05318068521404</v>
      </c>
      <c r="M23" s="11">
        <f t="shared" si="4"/>
        <v>514.008854018379</v>
      </c>
      <c r="N23" s="11">
        <f>$I$9*($I$8+$I$11+L23)+(1-$I$9)*($I$11+L23)</f>
        <v>772.4619573551502</v>
      </c>
      <c r="O23" s="9"/>
    </row>
    <row r="24" spans="1:15" ht="12.75">
      <c r="A24" s="24"/>
      <c r="B24" s="14"/>
      <c r="C24" s="14"/>
      <c r="D24" s="25"/>
      <c r="E24" s="11"/>
      <c r="F24" s="11"/>
      <c r="H24" s="9"/>
      <c r="I24" s="11">
        <v>6</v>
      </c>
      <c r="J24" s="11">
        <v>1</v>
      </c>
      <c r="K24" s="14">
        <f t="shared" si="2"/>
        <v>0.3054936871812967</v>
      </c>
      <c r="L24" s="11">
        <f t="shared" si="3"/>
        <v>435.8328710708802</v>
      </c>
      <c r="M24" s="11">
        <f t="shared" si="4"/>
        <v>520.4395881066265</v>
      </c>
      <c r="N24" s="11">
        <f>$I$9*($I$8+$I$11+L24)+(1-$I$9)*($I$11+L24)</f>
        <v>789.2416477408165</v>
      </c>
      <c r="O24" s="9"/>
    </row>
    <row r="25" spans="1:15" ht="12.75">
      <c r="A25" s="24"/>
      <c r="B25" s="14"/>
      <c r="C25" s="14"/>
      <c r="D25" s="25"/>
      <c r="E25" s="11"/>
      <c r="F25" s="11"/>
      <c r="H25" s="9"/>
      <c r="I25" s="11">
        <v>6</v>
      </c>
      <c r="J25" s="11">
        <v>2</v>
      </c>
      <c r="K25" s="14">
        <f t="shared" si="2"/>
        <v>0.07444462699464832</v>
      </c>
      <c r="L25" s="11">
        <f t="shared" si="3"/>
        <v>549.1150084983202</v>
      </c>
      <c r="M25" s="11">
        <f t="shared" si="4"/>
        <v>563.8544119800436</v>
      </c>
      <c r="N25" s="11">
        <f>$I$9*($I$8+$I$11+L25)+(1-$I$9)*($I$11+L25)</f>
        <v>902.5237851682564</v>
      </c>
      <c r="O25" s="9"/>
    </row>
    <row r="26" spans="1:15" ht="12.75">
      <c r="A26" s="10"/>
      <c r="B26" s="13"/>
      <c r="C26" s="11"/>
      <c r="D26" s="11"/>
      <c r="E26" s="11"/>
      <c r="F26" s="11"/>
      <c r="H26" s="10"/>
      <c r="I26" s="10"/>
      <c r="J26" s="9"/>
      <c r="K26" s="9"/>
      <c r="L26" s="10"/>
      <c r="M26" s="9"/>
      <c r="N26" s="9"/>
      <c r="O26" s="9"/>
    </row>
    <row r="27" spans="1:15" ht="12.75">
      <c r="A27" s="9"/>
      <c r="B27" s="13"/>
      <c r="C27" s="11"/>
      <c r="D27" s="11"/>
      <c r="E27" s="11"/>
      <c r="F27" s="11"/>
      <c r="H27" s="10"/>
      <c r="I27" s="9"/>
      <c r="J27" s="10"/>
      <c r="K27" s="10"/>
      <c r="L27" s="14"/>
      <c r="M27" s="9"/>
      <c r="N27" s="9"/>
      <c r="O27" s="9"/>
    </row>
    <row r="28" spans="1:15" ht="12.75">
      <c r="A28" s="9"/>
      <c r="B28" s="9"/>
      <c r="C28" s="9"/>
      <c r="D28" s="9"/>
      <c r="E28" s="9"/>
      <c r="F28" s="9"/>
      <c r="H28" s="10"/>
      <c r="I28" s="14"/>
      <c r="J28" s="14"/>
      <c r="K28" s="14"/>
      <c r="L28" s="14"/>
      <c r="M28" s="9"/>
      <c r="N28" s="9"/>
      <c r="O28" s="9"/>
    </row>
    <row r="29" spans="1:15" ht="12.75">
      <c r="A29" s="10"/>
      <c r="B29" s="13"/>
      <c r="C29" s="11"/>
      <c r="D29" s="11"/>
      <c r="E29" s="11"/>
      <c r="F29" s="11"/>
      <c r="H29" s="10"/>
      <c r="J29" s="14"/>
      <c r="K29" s="14"/>
      <c r="L29" s="14"/>
      <c r="M29" s="9"/>
      <c r="N29" s="9"/>
      <c r="O29" s="9"/>
    </row>
    <row r="30" spans="1:15" ht="12.75">
      <c r="A30" s="9"/>
      <c r="B30" s="9"/>
      <c r="C30" s="11"/>
      <c r="D30" s="11"/>
      <c r="E30" s="11"/>
      <c r="F30" s="11"/>
      <c r="H30" s="10"/>
      <c r="I30" s="14"/>
      <c r="J30" s="14"/>
      <c r="K30" s="14"/>
      <c r="L30" s="14"/>
      <c r="M30" s="9"/>
      <c r="N30" s="9"/>
      <c r="O30" s="9"/>
    </row>
    <row r="31" spans="1:15" ht="12.75">
      <c r="A31" s="9"/>
      <c r="B31" s="9"/>
      <c r="C31" s="11"/>
      <c r="D31" s="11"/>
      <c r="E31" s="11"/>
      <c r="F31" s="11"/>
      <c r="H31" s="10"/>
      <c r="I31" s="14"/>
      <c r="J31" s="14"/>
      <c r="K31" s="14"/>
      <c r="L31" s="14"/>
      <c r="M31" s="9"/>
      <c r="N31" s="9"/>
      <c r="O31" s="9"/>
    </row>
    <row r="32" spans="1:15" ht="12.75">
      <c r="A32" s="9"/>
      <c r="B32" s="9"/>
      <c r="C32" s="11"/>
      <c r="D32" s="11"/>
      <c r="E32" s="11"/>
      <c r="F32" s="11"/>
      <c r="H32" s="9"/>
      <c r="I32" s="14"/>
      <c r="J32" s="14"/>
      <c r="K32" s="14"/>
      <c r="L32" s="9"/>
      <c r="M32" s="9"/>
      <c r="N32" s="9"/>
      <c r="O32" s="9"/>
    </row>
    <row r="33" spans="1:15" ht="12.75">
      <c r="A33" s="9"/>
      <c r="B33" s="9"/>
      <c r="C33" s="11"/>
      <c r="D33" s="11"/>
      <c r="E33" s="11"/>
      <c r="F33" s="11"/>
      <c r="H33" s="10"/>
      <c r="I33" s="14"/>
      <c r="J33" s="9"/>
      <c r="K33" s="9"/>
      <c r="L33" s="10"/>
      <c r="M33" s="10"/>
      <c r="N33" s="9"/>
      <c r="O33" s="9"/>
    </row>
    <row r="34" spans="1:15" ht="12.75">
      <c r="A34" s="9"/>
      <c r="B34" s="9"/>
      <c r="C34" s="11"/>
      <c r="D34" s="11"/>
      <c r="E34" s="11"/>
      <c r="F34" s="11"/>
      <c r="H34" s="10"/>
      <c r="I34" s="14"/>
      <c r="J34" s="10"/>
      <c r="K34" s="10"/>
      <c r="L34" s="14"/>
      <c r="M34" s="14"/>
      <c r="N34" s="9"/>
      <c r="O34" s="9"/>
    </row>
    <row r="35" spans="1:15" ht="12.75">
      <c r="A35" s="9"/>
      <c r="B35" s="9"/>
      <c r="C35" s="11"/>
      <c r="D35" s="11"/>
      <c r="E35" s="11"/>
      <c r="F35" s="11"/>
      <c r="H35" s="10"/>
      <c r="I35" s="14"/>
      <c r="J35" s="14"/>
      <c r="K35" s="14"/>
      <c r="L35" s="14"/>
      <c r="M35" s="14"/>
      <c r="N35" s="9"/>
      <c r="O35" s="9"/>
    </row>
    <row r="36" spans="1:15" ht="12.75">
      <c r="A36" s="9"/>
      <c r="B36" s="9"/>
      <c r="C36" s="9"/>
      <c r="D36" s="11"/>
      <c r="E36" s="11"/>
      <c r="F36" s="11"/>
      <c r="H36" s="10"/>
      <c r="I36" s="14"/>
      <c r="J36" s="14"/>
      <c r="K36" s="14"/>
      <c r="L36" s="14"/>
      <c r="M36" s="14"/>
      <c r="N36" s="9"/>
      <c r="O36" s="9"/>
    </row>
    <row r="37" spans="1:15" ht="12.75">
      <c r="A37" s="9"/>
      <c r="B37" s="9"/>
      <c r="C37" s="9"/>
      <c r="D37" s="9"/>
      <c r="E37" s="9"/>
      <c r="F37" s="9"/>
      <c r="H37" s="9"/>
      <c r="I37" s="9"/>
      <c r="J37" s="9"/>
      <c r="K37" s="9"/>
      <c r="L37" s="9"/>
      <c r="M37" s="9"/>
      <c r="N37" s="9"/>
      <c r="O37" s="9"/>
    </row>
    <row r="38" spans="1:15" ht="12.75">
      <c r="A38" s="10"/>
      <c r="B38" s="10"/>
      <c r="C38" s="10"/>
      <c r="D38" s="9"/>
      <c r="E38" s="9"/>
      <c r="F38" s="9"/>
      <c r="H38" s="9"/>
      <c r="I38" s="9"/>
      <c r="J38" s="9"/>
      <c r="K38" s="9"/>
      <c r="L38" s="9"/>
      <c r="M38" s="9"/>
      <c r="N38" s="9"/>
      <c r="O38" s="9"/>
    </row>
    <row r="39" spans="1:15" ht="12.75">
      <c r="A39" s="10"/>
      <c r="B39" s="13"/>
      <c r="C39" s="11"/>
      <c r="D39" s="10"/>
      <c r="E39" s="10"/>
      <c r="F39" s="10"/>
      <c r="H39" s="9"/>
      <c r="I39" s="9"/>
      <c r="J39" s="9"/>
      <c r="K39" s="9"/>
      <c r="L39" s="9"/>
      <c r="M39" s="9"/>
      <c r="N39" s="9"/>
      <c r="O39" s="9"/>
    </row>
    <row r="40" spans="1:15" ht="12.75">
      <c r="A40" s="10"/>
      <c r="B40" s="13"/>
      <c r="C40" s="11"/>
      <c r="D40" s="11"/>
      <c r="E40" s="11"/>
      <c r="F40" s="11"/>
      <c r="H40" s="10"/>
      <c r="I40" s="10"/>
      <c r="J40" s="10"/>
      <c r="K40" s="10"/>
      <c r="L40" s="10"/>
      <c r="M40" s="10"/>
      <c r="N40" s="9"/>
      <c r="O40" s="9"/>
    </row>
    <row r="41" spans="4:15" ht="12.75">
      <c r="D41" s="11"/>
      <c r="E41" s="11"/>
      <c r="F41" s="11"/>
      <c r="H41" s="10"/>
      <c r="I41" s="11"/>
      <c r="J41" s="11"/>
      <c r="K41" s="11"/>
      <c r="L41" s="11"/>
      <c r="M41" s="11"/>
      <c r="N41" s="9"/>
      <c r="O41" s="9"/>
    </row>
    <row r="42" spans="1:15" ht="12.75">
      <c r="A42" s="10"/>
      <c r="B42" s="13"/>
      <c r="C42" s="11"/>
      <c r="D42" s="11"/>
      <c r="E42" s="11"/>
      <c r="F42" s="11"/>
      <c r="H42" s="10"/>
      <c r="I42" s="11"/>
      <c r="J42" s="11"/>
      <c r="K42" s="11"/>
      <c r="L42" s="11"/>
      <c r="M42" s="11"/>
      <c r="N42" s="9"/>
      <c r="O42" s="9"/>
    </row>
    <row r="43" spans="1:15" ht="12.75">
      <c r="A43" s="10"/>
      <c r="B43" s="13"/>
      <c r="C43" s="11"/>
      <c r="D43" s="11"/>
      <c r="E43" s="11"/>
      <c r="F43" s="11"/>
      <c r="H43" s="10"/>
      <c r="I43" s="11"/>
      <c r="J43" s="11"/>
      <c r="K43" s="11"/>
      <c r="L43" s="11"/>
      <c r="M43" s="11"/>
      <c r="N43" s="9"/>
      <c r="O43" s="9"/>
    </row>
    <row r="44" spans="1:15" ht="12.75">
      <c r="A44" s="10"/>
      <c r="B44" s="13"/>
      <c r="C44" s="11"/>
      <c r="D44" s="11"/>
      <c r="E44" s="11"/>
      <c r="F44" s="11"/>
      <c r="H44" s="10"/>
      <c r="I44" s="11"/>
      <c r="J44" s="11"/>
      <c r="K44" s="11"/>
      <c r="L44" s="11"/>
      <c r="M44" s="9"/>
      <c r="N44" s="9"/>
      <c r="O44" s="9"/>
    </row>
    <row r="45" spans="1:15" ht="12.75">
      <c r="A45" s="10"/>
      <c r="B45" s="13"/>
      <c r="C45" s="11"/>
      <c r="D45" s="11"/>
      <c r="E45" s="11"/>
      <c r="F45" s="11"/>
      <c r="H45" s="9"/>
      <c r="I45" s="9"/>
      <c r="J45" s="9"/>
      <c r="K45" s="9"/>
      <c r="L45" s="9"/>
      <c r="M45" s="9"/>
      <c r="N45" s="9"/>
      <c r="O45" s="9"/>
    </row>
    <row r="46" spans="1:15" ht="12.75">
      <c r="A46" s="10"/>
      <c r="B46" s="13"/>
      <c r="C46" s="11"/>
      <c r="D46" s="11"/>
      <c r="E46" s="11"/>
      <c r="F46" s="11"/>
      <c r="H46" s="9"/>
      <c r="I46" s="9"/>
      <c r="J46" s="9"/>
      <c r="K46" s="9"/>
      <c r="L46" s="9"/>
      <c r="M46" s="9"/>
      <c r="N46" s="9"/>
      <c r="O46" s="9"/>
    </row>
    <row r="47" spans="1:15" ht="12.75">
      <c r="A47" s="10"/>
      <c r="B47" s="13"/>
      <c r="C47" s="11"/>
      <c r="D47" s="11"/>
      <c r="E47" s="11"/>
      <c r="F47" s="11"/>
      <c r="H47" s="10"/>
      <c r="I47" s="10"/>
      <c r="J47" s="10"/>
      <c r="K47" s="10"/>
      <c r="L47" s="10"/>
      <c r="M47" s="10"/>
      <c r="N47" s="10"/>
      <c r="O47" s="9"/>
    </row>
    <row r="48" spans="1:15" ht="12.75">
      <c r="A48" s="10"/>
      <c r="B48" s="13"/>
      <c r="C48" s="11"/>
      <c r="D48" s="11"/>
      <c r="E48" s="11"/>
      <c r="F48" s="11"/>
      <c r="H48" s="10"/>
      <c r="I48" s="11"/>
      <c r="J48" s="11"/>
      <c r="K48" s="11"/>
      <c r="L48" s="11"/>
      <c r="M48" s="11"/>
      <c r="N48" s="14"/>
      <c r="O48" s="9"/>
    </row>
    <row r="49" spans="1:15" ht="12.75">
      <c r="A49" s="9"/>
      <c r="B49" s="9"/>
      <c r="C49" s="9"/>
      <c r="D49" s="9"/>
      <c r="E49" s="9"/>
      <c r="F49" s="9"/>
      <c r="H49" s="10"/>
      <c r="I49" s="11"/>
      <c r="J49" s="11"/>
      <c r="K49" s="11"/>
      <c r="L49" s="11"/>
      <c r="M49" s="11"/>
      <c r="N49" s="14"/>
      <c r="O49" s="9"/>
    </row>
    <row r="50" spans="1:15" ht="12.75">
      <c r="A50" s="9"/>
      <c r="B50" s="9"/>
      <c r="C50" s="9"/>
      <c r="D50" s="9"/>
      <c r="E50" s="9"/>
      <c r="F50" s="9"/>
      <c r="H50" s="10"/>
      <c r="I50" s="11"/>
      <c r="J50" s="11"/>
      <c r="K50" s="11"/>
      <c r="L50" s="11"/>
      <c r="M50" s="11"/>
      <c r="N50" s="14"/>
      <c r="O50" s="9"/>
    </row>
    <row r="51" spans="1:15" ht="12.75">
      <c r="A51" s="9"/>
      <c r="B51" s="9"/>
      <c r="C51" s="11"/>
      <c r="D51" s="11"/>
      <c r="E51" s="11"/>
      <c r="F51" s="11"/>
      <c r="H51" s="9"/>
      <c r="I51" s="9"/>
      <c r="J51" s="9"/>
      <c r="K51" s="9"/>
      <c r="L51" s="9"/>
      <c r="M51" s="9"/>
      <c r="N51" s="9"/>
      <c r="O51" s="9"/>
    </row>
    <row r="52" spans="1:15" ht="12.75">
      <c r="A52" s="9"/>
      <c r="B52" s="9"/>
      <c r="C52" s="11"/>
      <c r="D52" s="11"/>
      <c r="E52" s="11"/>
      <c r="F52" s="11"/>
      <c r="H52" s="9"/>
      <c r="I52" s="9"/>
      <c r="J52" s="9"/>
      <c r="K52" s="9"/>
      <c r="L52" s="9"/>
      <c r="M52" s="9"/>
      <c r="N52" s="9"/>
      <c r="O52" s="9"/>
    </row>
    <row r="53" spans="1:15" ht="12.75">
      <c r="A53" s="9"/>
      <c r="B53" s="9"/>
      <c r="C53" s="11"/>
      <c r="D53" s="11"/>
      <c r="E53" s="11"/>
      <c r="F53" s="11"/>
      <c r="H53" s="9"/>
      <c r="I53" s="9"/>
      <c r="J53" s="9"/>
      <c r="K53" s="9"/>
      <c r="L53" s="9"/>
      <c r="M53" s="9"/>
      <c r="N53" s="9"/>
      <c r="O53" s="9"/>
    </row>
    <row r="54" spans="1:15" ht="12.75">
      <c r="A54" s="9"/>
      <c r="B54" s="9"/>
      <c r="C54" s="11"/>
      <c r="D54" s="11"/>
      <c r="E54" s="11"/>
      <c r="F54" s="11"/>
      <c r="H54" s="10"/>
      <c r="I54" s="10"/>
      <c r="J54" s="10"/>
      <c r="K54" s="10"/>
      <c r="L54" s="10"/>
      <c r="M54" s="10"/>
      <c r="N54" s="9"/>
      <c r="O54" s="9"/>
    </row>
    <row r="55" spans="1:15" ht="12.75">
      <c r="A55" s="9"/>
      <c r="B55" s="9"/>
      <c r="C55" s="11"/>
      <c r="D55" s="11"/>
      <c r="E55" s="11"/>
      <c r="F55" s="11"/>
      <c r="H55" s="10"/>
      <c r="I55" s="11"/>
      <c r="J55" s="11"/>
      <c r="K55" s="11"/>
      <c r="L55" s="11"/>
      <c r="M55" s="11"/>
      <c r="N55" s="9"/>
      <c r="O55" s="9"/>
    </row>
    <row r="56" spans="1:15" ht="12.75">
      <c r="A56" s="9"/>
      <c r="B56" s="9"/>
      <c r="C56" s="11"/>
      <c r="D56" s="11"/>
      <c r="E56" s="11"/>
      <c r="F56" s="11"/>
      <c r="H56" s="10"/>
      <c r="I56" s="11"/>
      <c r="J56" s="11"/>
      <c r="K56" s="11"/>
      <c r="L56" s="11"/>
      <c r="M56" s="11"/>
      <c r="N56" s="9"/>
      <c r="O56" s="9"/>
    </row>
    <row r="57" spans="1:15" ht="12.75">
      <c r="A57" s="9"/>
      <c r="B57" s="9"/>
      <c r="C57" s="11"/>
      <c r="D57" s="11"/>
      <c r="E57" s="11"/>
      <c r="F57" s="11"/>
      <c r="H57" s="10"/>
      <c r="I57" s="11"/>
      <c r="J57" s="11"/>
      <c r="K57" s="11"/>
      <c r="L57" s="11"/>
      <c r="M57" s="11"/>
      <c r="N57" s="9"/>
      <c r="O57" s="9"/>
    </row>
    <row r="58" spans="1:15" ht="12.75">
      <c r="A58" s="9"/>
      <c r="B58" s="9"/>
      <c r="C58" s="11"/>
      <c r="D58" s="11"/>
      <c r="E58" s="11"/>
      <c r="F58" s="11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11"/>
      <c r="D59" s="11"/>
      <c r="E59" s="11"/>
      <c r="F59" s="11"/>
      <c r="H59" s="9"/>
      <c r="I59" s="9"/>
      <c r="J59" s="9"/>
      <c r="K59" s="9"/>
      <c r="L59" s="9"/>
      <c r="M59" s="9"/>
      <c r="N59" s="9"/>
      <c r="O59" s="9"/>
    </row>
    <row r="60" spans="1:13" ht="12.75">
      <c r="A60" s="9"/>
      <c r="B60" s="9"/>
      <c r="C60" s="9"/>
      <c r="D60" s="9"/>
      <c r="E60" s="9"/>
      <c r="F60" s="9"/>
      <c r="H60" s="10"/>
      <c r="I60" s="10"/>
      <c r="J60" s="10"/>
      <c r="K60" s="10"/>
      <c r="L60" s="10"/>
      <c r="M60" s="9"/>
    </row>
    <row r="61" spans="8:13" ht="12.75">
      <c r="H61" s="10"/>
      <c r="I61" s="11"/>
      <c r="J61" s="11"/>
      <c r="K61" s="11"/>
      <c r="L61" s="11"/>
      <c r="M61" s="9"/>
    </row>
    <row r="62" spans="8:13" ht="12.75">
      <c r="H62" s="10"/>
      <c r="I62" s="11"/>
      <c r="J62" s="11"/>
      <c r="K62" s="11"/>
      <c r="L62" s="11"/>
      <c r="M62" s="9"/>
    </row>
    <row r="63" spans="8:13" ht="12.75">
      <c r="H63" s="10"/>
      <c r="I63" s="11"/>
      <c r="J63" s="11"/>
      <c r="K63" s="11"/>
      <c r="L63" s="11"/>
      <c r="M63" s="9"/>
    </row>
    <row r="64" spans="8:13" ht="12.75">
      <c r="H64" s="10"/>
      <c r="I64" s="11"/>
      <c r="J64" s="11"/>
      <c r="K64" s="11"/>
      <c r="L64" s="11"/>
      <c r="M64" s="9"/>
    </row>
    <row r="65" spans="8:13" ht="12.75">
      <c r="H65" s="10"/>
      <c r="I65" s="11"/>
      <c r="J65" s="11"/>
      <c r="K65" s="11"/>
      <c r="L65" s="11"/>
      <c r="M65" s="9"/>
    </row>
    <row r="66" spans="8:13" ht="12.75">
      <c r="H66" s="10"/>
      <c r="I66" s="11"/>
      <c r="J66" s="11"/>
      <c r="K66" s="11"/>
      <c r="L66" s="11"/>
      <c r="M66" s="9"/>
    </row>
    <row r="67" spans="8:13" ht="12.75">
      <c r="H67" s="10"/>
      <c r="I67" s="11"/>
      <c r="J67" s="11"/>
      <c r="K67" s="11"/>
      <c r="L67" s="11"/>
      <c r="M67" s="9"/>
    </row>
    <row r="68" spans="8:13" ht="12.75">
      <c r="H68" s="10"/>
      <c r="I68" s="11"/>
      <c r="J68" s="11"/>
      <c r="K68" s="11"/>
      <c r="L68" s="11"/>
      <c r="M68" s="9"/>
    </row>
    <row r="69" spans="8:13" ht="12.75">
      <c r="H69" s="10"/>
      <c r="I69" s="11"/>
      <c r="J69" s="11"/>
      <c r="K69" s="11"/>
      <c r="L69" s="11"/>
      <c r="M69" s="9"/>
    </row>
    <row r="70" spans="8:13" ht="12.75">
      <c r="H70" s="9"/>
      <c r="I70" s="9"/>
      <c r="J70" s="9"/>
      <c r="K70" s="9"/>
      <c r="L70" s="9"/>
      <c r="M70" s="9"/>
    </row>
    <row r="71" spans="8:13" ht="12.75">
      <c r="H71" s="9"/>
      <c r="I71" s="9"/>
      <c r="J71" s="9"/>
      <c r="K71" s="9"/>
      <c r="L71" s="9"/>
      <c r="M71" s="9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">
      <selection activeCell="E1" sqref="E1"/>
    </sheetView>
  </sheetViews>
  <sheetFormatPr defaultColWidth="9.140625" defaultRowHeight="12.75"/>
  <cols>
    <col min="3" max="3" width="11.7109375" style="0" customWidth="1"/>
    <col min="7" max="7" width="5.421875" style="0" customWidth="1"/>
    <col min="8" max="8" width="9.00390625" style="0" customWidth="1"/>
    <col min="9" max="9" width="8.421875" style="0" customWidth="1"/>
    <col min="10" max="11" width="10.00390625" style="0" customWidth="1"/>
    <col min="12" max="13" width="8.421875" style="0" customWidth="1"/>
  </cols>
  <sheetData>
    <row r="1" ht="12.75">
      <c r="A1" s="1" t="s">
        <v>58</v>
      </c>
    </row>
    <row r="3" spans="1:13" ht="12.75">
      <c r="A3" s="2" t="s">
        <v>47</v>
      </c>
      <c r="B3" s="3"/>
      <c r="C3" s="3"/>
      <c r="D3" s="3"/>
      <c r="E3" s="3"/>
      <c r="F3" s="3"/>
      <c r="H3" s="1" t="s">
        <v>16</v>
      </c>
      <c r="I3" s="9"/>
      <c r="J3" s="9"/>
      <c r="K3" s="9"/>
      <c r="L3" s="9"/>
      <c r="M3" s="9"/>
    </row>
    <row r="4" spans="1:13" ht="12.75">
      <c r="A4" s="9"/>
      <c r="B4" s="9"/>
      <c r="C4" s="9"/>
      <c r="D4" s="9"/>
      <c r="E4" s="9"/>
      <c r="F4" s="9"/>
      <c r="H4" s="9"/>
      <c r="I4" s="10"/>
      <c r="J4" s="10"/>
      <c r="K4" s="10"/>
      <c r="L4" s="10"/>
      <c r="M4" s="9"/>
    </row>
    <row r="5" spans="1:13" ht="15.75">
      <c r="A5" s="3" t="s">
        <v>2</v>
      </c>
      <c r="B5" s="3" t="s">
        <v>49</v>
      </c>
      <c r="C5" s="3" t="s">
        <v>48</v>
      </c>
      <c r="D5" s="10" t="s">
        <v>0</v>
      </c>
      <c r="E5" s="10" t="s">
        <v>52</v>
      </c>
      <c r="F5" s="10" t="s">
        <v>53</v>
      </c>
      <c r="H5" t="s">
        <v>17</v>
      </c>
      <c r="I5" s="17">
        <v>1</v>
      </c>
      <c r="J5" s="11"/>
      <c r="K5" s="19"/>
      <c r="L5" s="20"/>
      <c r="M5" s="9"/>
    </row>
    <row r="6" spans="1:13" ht="15.75">
      <c r="A6" s="3">
        <v>2</v>
      </c>
      <c r="B6" s="3">
        <v>1</v>
      </c>
      <c r="C6" s="3" t="s">
        <v>50</v>
      </c>
      <c r="D6" s="25">
        <v>554</v>
      </c>
      <c r="E6" s="28">
        <f>M20</f>
        <v>558.0404943457434</v>
      </c>
      <c r="F6" s="11">
        <f aca="true" t="shared" si="0" ref="F6:F17">(D6-E6)^2</f>
        <v>16.32559455798402</v>
      </c>
      <c r="H6" t="s">
        <v>20</v>
      </c>
      <c r="I6" s="26">
        <v>0.5</v>
      </c>
      <c r="J6" s="11"/>
      <c r="K6" s="19"/>
      <c r="L6" s="20"/>
      <c r="M6" s="9"/>
    </row>
    <row r="7" spans="1:13" ht="12.75">
      <c r="A7" s="3">
        <v>2</v>
      </c>
      <c r="B7" s="3">
        <v>1</v>
      </c>
      <c r="C7" s="3" t="s">
        <v>51</v>
      </c>
      <c r="D7" s="25">
        <v>874</v>
      </c>
      <c r="E7" s="28">
        <f>N20</f>
        <v>885.988408970339</v>
      </c>
      <c r="F7" s="11">
        <f t="shared" si="0"/>
        <v>143.7219496401055</v>
      </c>
      <c r="H7" t="s">
        <v>18</v>
      </c>
      <c r="I7" s="17">
        <v>1.5</v>
      </c>
      <c r="J7" s="11"/>
      <c r="K7" s="11"/>
      <c r="L7" s="11"/>
      <c r="M7" s="11"/>
    </row>
    <row r="8" spans="1:13" ht="15.75">
      <c r="A8" s="3">
        <v>2</v>
      </c>
      <c r="B8" s="3">
        <v>2</v>
      </c>
      <c r="C8" s="3" t="s">
        <v>50</v>
      </c>
      <c r="D8" s="25">
        <v>632</v>
      </c>
      <c r="E8" s="28">
        <f>M21</f>
        <v>578.8942076750787</v>
      </c>
      <c r="F8" s="11">
        <f t="shared" si="0"/>
        <v>2820.225178457665</v>
      </c>
      <c r="H8" t="s">
        <v>21</v>
      </c>
      <c r="I8" s="18">
        <v>50</v>
      </c>
      <c r="J8" s="12"/>
      <c r="K8" s="12"/>
      <c r="L8" s="12"/>
      <c r="M8" s="12"/>
    </row>
    <row r="9" spans="1:9" ht="15.75">
      <c r="A9" s="3">
        <v>2</v>
      </c>
      <c r="B9" s="3">
        <v>2</v>
      </c>
      <c r="C9" s="3" t="s">
        <v>51</v>
      </c>
      <c r="D9" s="25">
        <v>913</v>
      </c>
      <c r="E9" s="28">
        <f>N21</f>
        <v>1042.6825962891558</v>
      </c>
      <c r="F9" s="11">
        <f t="shared" si="0"/>
        <v>16817.575780296153</v>
      </c>
      <c r="H9" t="s">
        <v>24</v>
      </c>
      <c r="I9" s="26">
        <v>0.8669145697989072</v>
      </c>
    </row>
    <row r="10" spans="1:9" ht="12.75">
      <c r="A10" s="3">
        <v>4</v>
      </c>
      <c r="B10" s="3">
        <v>1</v>
      </c>
      <c r="C10" s="3" t="s">
        <v>50</v>
      </c>
      <c r="D10" s="25">
        <v>598</v>
      </c>
      <c r="E10" s="28">
        <f>M22</f>
        <v>578.8942076750787</v>
      </c>
      <c r="F10" s="11">
        <f t="shared" si="0"/>
        <v>365.03130036301985</v>
      </c>
      <c r="H10" t="s">
        <v>19</v>
      </c>
      <c r="I10" s="18">
        <v>1198.8236353459613</v>
      </c>
    </row>
    <row r="11" spans="1:12" ht="15.75">
      <c r="A11" s="3">
        <v>4</v>
      </c>
      <c r="B11" s="3">
        <v>1</v>
      </c>
      <c r="C11" s="3" t="s">
        <v>51</v>
      </c>
      <c r="D11" s="25">
        <v>1114</v>
      </c>
      <c r="E11" s="28">
        <f>N22</f>
        <v>1042.6825962891558</v>
      </c>
      <c r="F11" s="11">
        <f t="shared" si="0"/>
        <v>5086.17207205554</v>
      </c>
      <c r="H11" t="s">
        <v>22</v>
      </c>
      <c r="I11" s="18">
        <v>464.3494483102761</v>
      </c>
      <c r="K11" s="3"/>
      <c r="L11" s="3"/>
    </row>
    <row r="12" spans="1:12" ht="12.75">
      <c r="A12" s="3">
        <v>4</v>
      </c>
      <c r="B12" s="3">
        <v>2</v>
      </c>
      <c r="C12" s="3" t="s">
        <v>50</v>
      </c>
      <c r="D12" s="25">
        <v>583</v>
      </c>
      <c r="E12" s="28">
        <f>M23</f>
        <v>608.3858118912653</v>
      </c>
      <c r="F12" s="11">
        <f t="shared" si="0"/>
        <v>644.4394453787091</v>
      </c>
      <c r="H12" t="s">
        <v>14</v>
      </c>
      <c r="I12" s="7">
        <f>SQRT(AVERAGE(F6:F17))</f>
        <v>51.047225590880444</v>
      </c>
      <c r="J12" s="3"/>
      <c r="K12" s="4"/>
      <c r="L12" s="4"/>
    </row>
    <row r="13" spans="1:12" ht="12.75">
      <c r="A13" s="3">
        <v>4</v>
      </c>
      <c r="B13" s="3">
        <v>2</v>
      </c>
      <c r="C13" s="3" t="s">
        <v>51</v>
      </c>
      <c r="D13" s="25">
        <v>1298</v>
      </c>
      <c r="E13" s="28">
        <f>N23</f>
        <v>1264.281641140457</v>
      </c>
      <c r="F13" s="11">
        <f t="shared" si="0"/>
        <v>1136.927724180926</v>
      </c>
      <c r="H13" t="s">
        <v>15</v>
      </c>
      <c r="I13" s="8">
        <f>CORREL(E6:E17,D6:D17)</f>
        <v>0.9859243484228964</v>
      </c>
      <c r="J13" s="4"/>
      <c r="K13" s="4"/>
      <c r="L13" s="4"/>
    </row>
    <row r="14" spans="1:12" ht="12.75">
      <c r="A14" s="3">
        <v>6</v>
      </c>
      <c r="B14" s="3">
        <v>1</v>
      </c>
      <c r="C14" s="3" t="s">
        <v>50</v>
      </c>
      <c r="D14" s="11">
        <v>627</v>
      </c>
      <c r="E14" s="28">
        <f>M24</f>
        <v>594.8958247122544</v>
      </c>
      <c r="F14" s="11">
        <f t="shared" si="0"/>
        <v>1030.6780709062982</v>
      </c>
      <c r="J14" s="4"/>
      <c r="K14" s="4"/>
      <c r="L14" s="4"/>
    </row>
    <row r="15" spans="1:12" ht="12.75">
      <c r="A15" s="3">
        <v>6</v>
      </c>
      <c r="B15" s="3">
        <v>1</v>
      </c>
      <c r="C15" s="3" t="s">
        <v>51</v>
      </c>
      <c r="D15" s="11">
        <v>1138</v>
      </c>
      <c r="E15" s="28">
        <f>N24</f>
        <v>1162.9182750783143</v>
      </c>
      <c r="F15" s="11">
        <f t="shared" si="0"/>
        <v>620.9204328785399</v>
      </c>
      <c r="H15" s="1" t="s">
        <v>23</v>
      </c>
      <c r="J15" s="4"/>
      <c r="K15" s="5"/>
      <c r="L15" s="5"/>
    </row>
    <row r="16" spans="1:10" ht="12.75">
      <c r="A16" s="3">
        <v>6</v>
      </c>
      <c r="B16" s="3">
        <v>2</v>
      </c>
      <c r="C16" s="3" t="s">
        <v>50</v>
      </c>
      <c r="D16" s="11">
        <v>589</v>
      </c>
      <c r="E16" s="28">
        <f>M25</f>
        <v>631.0155157251395</v>
      </c>
      <c r="F16" s="11">
        <f t="shared" si="0"/>
        <v>1765.3035616494442</v>
      </c>
      <c r="J16" s="5"/>
    </row>
    <row r="17" spans="1:15" ht="12.75">
      <c r="A17" s="3">
        <v>6</v>
      </c>
      <c r="B17" s="3">
        <v>2</v>
      </c>
      <c r="C17" s="3" t="s">
        <v>51</v>
      </c>
      <c r="D17" s="11">
        <v>1463</v>
      </c>
      <c r="E17" s="28">
        <f>N25</f>
        <v>1434.3205687652198</v>
      </c>
      <c r="F17" s="11">
        <f t="shared" si="0"/>
        <v>822.5097759504843</v>
      </c>
      <c r="I17" s="1" t="s">
        <v>56</v>
      </c>
      <c r="K17" s="9"/>
      <c r="L17" s="9"/>
      <c r="M17" s="9"/>
      <c r="N17" s="10"/>
      <c r="O17" s="9"/>
    </row>
    <row r="18" spans="1:15" ht="12.75">
      <c r="A18" s="24"/>
      <c r="B18" s="14"/>
      <c r="C18" s="14"/>
      <c r="D18" s="25"/>
      <c r="E18" s="11"/>
      <c r="F18" s="11"/>
      <c r="H18" s="9"/>
      <c r="I18" s="9"/>
      <c r="J18" s="9"/>
      <c r="K18" s="9"/>
      <c r="L18" s="9"/>
      <c r="M18" s="9"/>
      <c r="N18" s="9"/>
      <c r="O18" s="9"/>
    </row>
    <row r="19" spans="1:15" ht="15.75">
      <c r="A19" s="24"/>
      <c r="B19" s="14"/>
      <c r="C19" s="14"/>
      <c r="D19" s="25"/>
      <c r="E19" s="11"/>
      <c r="F19" s="11"/>
      <c r="H19" s="9"/>
      <c r="I19" s="14" t="s">
        <v>2</v>
      </c>
      <c r="J19" s="3" t="s">
        <v>49</v>
      </c>
      <c r="K19" s="10" t="s">
        <v>55</v>
      </c>
      <c r="L19" s="10" t="s">
        <v>54</v>
      </c>
      <c r="M19" s="3" t="s">
        <v>44</v>
      </c>
      <c r="N19" s="3" t="s">
        <v>45</v>
      </c>
      <c r="O19" s="9"/>
    </row>
    <row r="20" spans="1:15" ht="12.75">
      <c r="A20" s="24"/>
      <c r="B20" s="14"/>
      <c r="C20" s="14"/>
      <c r="D20" s="25"/>
      <c r="E20" s="11"/>
      <c r="F20" s="11"/>
      <c r="H20" s="10"/>
      <c r="I20" s="11">
        <v>2</v>
      </c>
      <c r="J20" s="11">
        <v>1</v>
      </c>
      <c r="K20" s="14">
        <f aca="true" t="shared" si="1" ref="K20:K25">($I$5*$I$6)*($I$7-LN(I20))+($I$5*(1-$I$6))*($I$7-LN(J20))</f>
        <v>1.1534264097200273</v>
      </c>
      <c r="L20" s="11">
        <f aca="true" t="shared" si="2" ref="L20:L25">$I$10*EXP(-K20)</f>
        <v>378.2932321701176</v>
      </c>
      <c r="M20" s="11">
        <f aca="true" t="shared" si="3" ref="M20:M25">$I$9*($I$8+$I$11)+(1-$I$9)*($I$11+L20)</f>
        <v>558.0404943457434</v>
      </c>
      <c r="N20" s="11">
        <f aca="true" t="shared" si="4" ref="N20:N25">$I$9*($I$8+$I$11+L20)+(1-$I$9)*($I$11+L20)</f>
        <v>885.988408970339</v>
      </c>
      <c r="O20" s="9"/>
    </row>
    <row r="21" spans="1:15" ht="12.75">
      <c r="A21" s="24"/>
      <c r="B21" s="14"/>
      <c r="C21" s="14"/>
      <c r="D21" s="25"/>
      <c r="E21" s="11"/>
      <c r="F21" s="11"/>
      <c r="H21" s="10"/>
      <c r="I21" s="5">
        <v>2</v>
      </c>
      <c r="J21" s="11">
        <v>2</v>
      </c>
      <c r="K21" s="14">
        <f t="shared" si="1"/>
        <v>0.8068528194400547</v>
      </c>
      <c r="L21" s="11">
        <f t="shared" si="2"/>
        <v>534.9874194889344</v>
      </c>
      <c r="M21" s="11">
        <f t="shared" si="3"/>
        <v>578.8942076750787</v>
      </c>
      <c r="N21" s="11">
        <f t="shared" si="4"/>
        <v>1042.6825962891558</v>
      </c>
      <c r="O21" s="9"/>
    </row>
    <row r="22" spans="1:15" ht="12.75">
      <c r="A22" s="24"/>
      <c r="B22" s="14"/>
      <c r="C22" s="14"/>
      <c r="D22" s="25"/>
      <c r="E22" s="11"/>
      <c r="F22" s="11"/>
      <c r="H22" s="10"/>
      <c r="I22" s="11">
        <v>4</v>
      </c>
      <c r="J22" s="11">
        <v>1</v>
      </c>
      <c r="K22" s="14">
        <f t="shared" si="1"/>
        <v>0.8068528194400547</v>
      </c>
      <c r="L22" s="11">
        <f t="shared" si="2"/>
        <v>534.9874194889344</v>
      </c>
      <c r="M22" s="11">
        <f t="shared" si="3"/>
        <v>578.8942076750787</v>
      </c>
      <c r="N22" s="11">
        <f t="shared" si="4"/>
        <v>1042.6825962891558</v>
      </c>
      <c r="O22" s="9"/>
    </row>
    <row r="23" spans="1:15" ht="12.75">
      <c r="A23" s="24"/>
      <c r="B23" s="14"/>
      <c r="C23" s="14"/>
      <c r="D23" s="25"/>
      <c r="E23" s="11"/>
      <c r="F23" s="11"/>
      <c r="H23" s="10"/>
      <c r="I23" s="11">
        <v>4</v>
      </c>
      <c r="J23" s="11">
        <v>2</v>
      </c>
      <c r="K23" s="14">
        <f t="shared" si="1"/>
        <v>0.46027922916008207</v>
      </c>
      <c r="L23" s="11">
        <f t="shared" si="2"/>
        <v>756.5864643402352</v>
      </c>
      <c r="M23" s="11">
        <f t="shared" si="3"/>
        <v>608.3858118912653</v>
      </c>
      <c r="N23" s="11">
        <f t="shared" si="4"/>
        <v>1264.281641140457</v>
      </c>
      <c r="O23" s="9"/>
    </row>
    <row r="24" spans="1:15" ht="12.75">
      <c r="A24" s="24"/>
      <c r="B24" s="14"/>
      <c r="C24" s="14"/>
      <c r="D24" s="25"/>
      <c r="E24" s="11"/>
      <c r="F24" s="11"/>
      <c r="H24" s="9"/>
      <c r="I24" s="11">
        <v>6</v>
      </c>
      <c r="J24" s="11">
        <v>1</v>
      </c>
      <c r="K24" s="14">
        <f t="shared" si="1"/>
        <v>0.6041202653859725</v>
      </c>
      <c r="L24" s="11">
        <f t="shared" si="2"/>
        <v>655.223098278093</v>
      </c>
      <c r="M24" s="11">
        <f t="shared" si="3"/>
        <v>594.8958247122544</v>
      </c>
      <c r="N24" s="11">
        <f t="shared" si="4"/>
        <v>1162.9182750783143</v>
      </c>
      <c r="O24" s="9"/>
    </row>
    <row r="25" spans="1:15" ht="12.75">
      <c r="A25" s="24"/>
      <c r="B25" s="14"/>
      <c r="C25" s="14"/>
      <c r="D25" s="25"/>
      <c r="E25" s="11"/>
      <c r="F25" s="11"/>
      <c r="H25" s="9"/>
      <c r="I25" s="11">
        <v>6</v>
      </c>
      <c r="J25" s="11">
        <v>2</v>
      </c>
      <c r="K25" s="14">
        <f t="shared" si="1"/>
        <v>0.2575466751059999</v>
      </c>
      <c r="L25" s="11">
        <f t="shared" si="2"/>
        <v>926.6253919649985</v>
      </c>
      <c r="M25" s="11">
        <f t="shared" si="3"/>
        <v>631.0155157251395</v>
      </c>
      <c r="N25" s="11">
        <f t="shared" si="4"/>
        <v>1434.3205687652198</v>
      </c>
      <c r="O25" s="9"/>
    </row>
    <row r="26" spans="1:15" ht="12.75">
      <c r="A26" s="10"/>
      <c r="B26" s="13"/>
      <c r="C26" s="11"/>
      <c r="D26" s="11"/>
      <c r="E26" s="11"/>
      <c r="F26" s="11"/>
      <c r="H26" s="10"/>
      <c r="I26" s="10"/>
      <c r="J26" s="9"/>
      <c r="K26" s="9"/>
      <c r="L26" s="10"/>
      <c r="M26" s="9"/>
      <c r="N26" s="9"/>
      <c r="O26" s="9"/>
    </row>
    <row r="27" spans="1:15" ht="12.75">
      <c r="A27" s="9"/>
      <c r="B27" s="13"/>
      <c r="C27" s="11"/>
      <c r="D27" s="11"/>
      <c r="E27" s="11"/>
      <c r="F27" s="11"/>
      <c r="H27" s="10"/>
      <c r="I27" s="9"/>
      <c r="J27" s="10"/>
      <c r="K27" s="10"/>
      <c r="L27" s="14"/>
      <c r="M27" s="9"/>
      <c r="N27" s="9"/>
      <c r="O27" s="9"/>
    </row>
    <row r="28" spans="1:15" ht="12.75">
      <c r="A28" s="9"/>
      <c r="B28" s="9"/>
      <c r="C28" s="9"/>
      <c r="D28" s="9"/>
      <c r="E28" s="9"/>
      <c r="F28" s="9"/>
      <c r="H28" s="10"/>
      <c r="I28" s="14"/>
      <c r="J28" s="14"/>
      <c r="K28" s="14"/>
      <c r="L28" s="14"/>
      <c r="M28" s="9"/>
      <c r="N28" s="9"/>
      <c r="O28" s="9"/>
    </row>
    <row r="29" spans="1:15" ht="12.75">
      <c r="A29" s="10"/>
      <c r="B29" s="13"/>
      <c r="C29" s="11"/>
      <c r="D29" s="11"/>
      <c r="E29" s="11"/>
      <c r="F29" s="11"/>
      <c r="H29" s="10"/>
      <c r="J29" s="14"/>
      <c r="K29" s="14"/>
      <c r="L29" s="14"/>
      <c r="M29" s="9"/>
      <c r="N29" s="9"/>
      <c r="O29" s="9"/>
    </row>
    <row r="30" spans="1:15" ht="12.75">
      <c r="A30" s="9"/>
      <c r="B30" s="9"/>
      <c r="C30" s="11"/>
      <c r="D30" s="11"/>
      <c r="E30" s="11"/>
      <c r="F30" s="11"/>
      <c r="H30" s="10"/>
      <c r="I30" s="14"/>
      <c r="J30" s="14"/>
      <c r="K30" s="14"/>
      <c r="L30" s="14"/>
      <c r="M30" s="9"/>
      <c r="N30" s="9"/>
      <c r="O30" s="9"/>
    </row>
    <row r="31" spans="1:15" ht="12.75">
      <c r="A31" s="9"/>
      <c r="B31" s="9"/>
      <c r="C31" s="11"/>
      <c r="D31" s="11"/>
      <c r="E31" s="11"/>
      <c r="F31" s="11"/>
      <c r="H31" s="10"/>
      <c r="I31" s="14"/>
      <c r="J31" s="14"/>
      <c r="K31" s="14"/>
      <c r="L31" s="14"/>
      <c r="M31" s="9"/>
      <c r="N31" s="9"/>
      <c r="O31" s="9"/>
    </row>
    <row r="32" spans="1:15" ht="12.75">
      <c r="A32" s="9"/>
      <c r="B32" s="9"/>
      <c r="C32" s="11"/>
      <c r="D32" s="11"/>
      <c r="E32" s="11"/>
      <c r="F32" s="11"/>
      <c r="H32" s="9"/>
      <c r="I32" s="14"/>
      <c r="J32" s="14"/>
      <c r="K32" s="14"/>
      <c r="L32" s="9"/>
      <c r="M32" s="9"/>
      <c r="N32" s="9"/>
      <c r="O32" s="9"/>
    </row>
    <row r="33" spans="1:15" ht="12.75">
      <c r="A33" s="9"/>
      <c r="B33" s="9"/>
      <c r="C33" s="11"/>
      <c r="D33" s="11"/>
      <c r="E33" s="11"/>
      <c r="F33" s="11"/>
      <c r="H33" s="10"/>
      <c r="I33" s="14"/>
      <c r="J33" s="9"/>
      <c r="K33" s="9"/>
      <c r="L33" s="10"/>
      <c r="M33" s="10"/>
      <c r="N33" s="9"/>
      <c r="O33" s="9"/>
    </row>
    <row r="34" spans="1:15" ht="12.75">
      <c r="A34" s="9"/>
      <c r="B34" s="9"/>
      <c r="C34" s="11"/>
      <c r="D34" s="11"/>
      <c r="E34" s="11"/>
      <c r="F34" s="11"/>
      <c r="H34" s="10"/>
      <c r="I34" s="14"/>
      <c r="J34" s="10"/>
      <c r="K34" s="10"/>
      <c r="L34" s="14"/>
      <c r="M34" s="14"/>
      <c r="N34" s="9"/>
      <c r="O34" s="9"/>
    </row>
    <row r="35" spans="1:15" ht="12.75">
      <c r="A35" s="9"/>
      <c r="B35" s="9"/>
      <c r="C35" s="11"/>
      <c r="D35" s="11"/>
      <c r="E35" s="11"/>
      <c r="F35" s="11"/>
      <c r="H35" s="10"/>
      <c r="I35" s="14"/>
      <c r="J35" s="14"/>
      <c r="K35" s="14"/>
      <c r="L35" s="14"/>
      <c r="M35" s="14"/>
      <c r="N35" s="9"/>
      <c r="O35" s="9"/>
    </row>
    <row r="36" spans="1:15" ht="12.75">
      <c r="A36" s="9"/>
      <c r="B36" s="9"/>
      <c r="C36" s="9"/>
      <c r="D36" s="11"/>
      <c r="E36" s="11"/>
      <c r="F36" s="11"/>
      <c r="H36" s="10"/>
      <c r="I36" s="14"/>
      <c r="J36" s="14"/>
      <c r="K36" s="14"/>
      <c r="L36" s="14"/>
      <c r="M36" s="14"/>
      <c r="N36" s="9"/>
      <c r="O36" s="9"/>
    </row>
    <row r="37" spans="1:15" ht="12.75">
      <c r="A37" s="9"/>
      <c r="B37" s="9"/>
      <c r="C37" s="9"/>
      <c r="D37" s="9"/>
      <c r="E37" s="9"/>
      <c r="F37" s="9"/>
      <c r="H37" s="9"/>
      <c r="I37" s="9"/>
      <c r="J37" s="9"/>
      <c r="K37" s="9"/>
      <c r="L37" s="9"/>
      <c r="M37" s="9"/>
      <c r="N37" s="9"/>
      <c r="O37" s="9"/>
    </row>
    <row r="38" spans="1:15" ht="12.75">
      <c r="A38" s="10"/>
      <c r="B38" s="10"/>
      <c r="C38" s="10"/>
      <c r="D38" s="9"/>
      <c r="E38" s="9"/>
      <c r="F38" s="9"/>
      <c r="H38" s="9"/>
      <c r="I38" s="9"/>
      <c r="J38" s="9"/>
      <c r="K38" s="9"/>
      <c r="L38" s="9"/>
      <c r="M38" s="9"/>
      <c r="N38" s="9"/>
      <c r="O38" s="9"/>
    </row>
    <row r="39" spans="1:15" ht="12.75">
      <c r="A39" s="10"/>
      <c r="B39" s="13"/>
      <c r="C39" s="11"/>
      <c r="D39" s="10"/>
      <c r="E39" s="10"/>
      <c r="F39" s="10"/>
      <c r="H39" s="9"/>
      <c r="I39" s="9"/>
      <c r="J39" s="9"/>
      <c r="K39" s="9"/>
      <c r="L39" s="9"/>
      <c r="M39" s="9"/>
      <c r="N39" s="9"/>
      <c r="O39" s="9"/>
    </row>
    <row r="40" spans="1:15" ht="12.75">
      <c r="A40" s="10"/>
      <c r="B40" s="13"/>
      <c r="C40" s="11"/>
      <c r="D40" s="11"/>
      <c r="E40" s="11"/>
      <c r="F40" s="11"/>
      <c r="H40" s="10"/>
      <c r="I40" s="10"/>
      <c r="J40" s="10"/>
      <c r="K40" s="10"/>
      <c r="L40" s="10"/>
      <c r="M40" s="10"/>
      <c r="N40" s="9"/>
      <c r="O40" s="9"/>
    </row>
    <row r="41" spans="4:15" ht="12.75">
      <c r="D41" s="11"/>
      <c r="E41" s="11"/>
      <c r="F41" s="11"/>
      <c r="H41" s="10"/>
      <c r="I41" s="11"/>
      <c r="J41" s="11"/>
      <c r="K41" s="11"/>
      <c r="L41" s="11"/>
      <c r="M41" s="11"/>
      <c r="N41" s="9"/>
      <c r="O41" s="9"/>
    </row>
    <row r="42" spans="1:15" ht="12.75">
      <c r="A42" s="10"/>
      <c r="B42" s="13"/>
      <c r="C42" s="11"/>
      <c r="D42" s="11"/>
      <c r="E42" s="11"/>
      <c r="F42" s="11"/>
      <c r="H42" s="10"/>
      <c r="I42" s="11"/>
      <c r="J42" s="11"/>
      <c r="K42" s="11"/>
      <c r="L42" s="11"/>
      <c r="M42" s="11"/>
      <c r="N42" s="9"/>
      <c r="O42" s="9"/>
    </row>
    <row r="43" spans="1:15" ht="12.75">
      <c r="A43" s="10"/>
      <c r="B43" s="13"/>
      <c r="C43" s="11"/>
      <c r="D43" s="11"/>
      <c r="E43" s="11"/>
      <c r="F43" s="11"/>
      <c r="H43" s="10"/>
      <c r="I43" s="11"/>
      <c r="J43" s="11"/>
      <c r="K43" s="11"/>
      <c r="L43" s="11"/>
      <c r="M43" s="11"/>
      <c r="N43" s="9"/>
      <c r="O43" s="9"/>
    </row>
    <row r="44" spans="1:15" ht="12.75">
      <c r="A44" s="10"/>
      <c r="B44" s="13"/>
      <c r="C44" s="11"/>
      <c r="D44" s="11"/>
      <c r="E44" s="11"/>
      <c r="F44" s="11"/>
      <c r="H44" s="10"/>
      <c r="I44" s="11"/>
      <c r="J44" s="11"/>
      <c r="K44" s="11"/>
      <c r="L44" s="11"/>
      <c r="M44" s="9"/>
      <c r="N44" s="9"/>
      <c r="O44" s="9"/>
    </row>
    <row r="45" spans="1:15" ht="12.75">
      <c r="A45" s="10"/>
      <c r="B45" s="13"/>
      <c r="C45" s="11"/>
      <c r="D45" s="11"/>
      <c r="E45" s="11"/>
      <c r="F45" s="11"/>
      <c r="H45" s="9"/>
      <c r="I45" s="9"/>
      <c r="J45" s="9"/>
      <c r="K45" s="9"/>
      <c r="L45" s="9"/>
      <c r="M45" s="9"/>
      <c r="N45" s="9"/>
      <c r="O45" s="9"/>
    </row>
    <row r="46" spans="1:15" ht="12.75">
      <c r="A46" s="10"/>
      <c r="B46" s="13"/>
      <c r="C46" s="11"/>
      <c r="D46" s="11"/>
      <c r="E46" s="11"/>
      <c r="F46" s="11"/>
      <c r="H46" s="9"/>
      <c r="I46" s="9"/>
      <c r="J46" s="9"/>
      <c r="K46" s="9"/>
      <c r="L46" s="9"/>
      <c r="M46" s="9"/>
      <c r="N46" s="9"/>
      <c r="O46" s="9"/>
    </row>
    <row r="47" spans="1:15" ht="12.75">
      <c r="A47" s="10"/>
      <c r="B47" s="13"/>
      <c r="C47" s="11"/>
      <c r="D47" s="11"/>
      <c r="E47" s="11"/>
      <c r="F47" s="11"/>
      <c r="H47" s="10"/>
      <c r="I47" s="10"/>
      <c r="J47" s="10"/>
      <c r="K47" s="10"/>
      <c r="L47" s="10"/>
      <c r="M47" s="10"/>
      <c r="N47" s="10"/>
      <c r="O47" s="9"/>
    </row>
    <row r="48" spans="1:15" ht="12.75">
      <c r="A48" s="10"/>
      <c r="B48" s="13"/>
      <c r="C48" s="11"/>
      <c r="D48" s="11"/>
      <c r="E48" s="11"/>
      <c r="F48" s="11"/>
      <c r="H48" s="10"/>
      <c r="I48" s="11"/>
      <c r="J48" s="11"/>
      <c r="K48" s="11"/>
      <c r="L48" s="11"/>
      <c r="M48" s="11"/>
      <c r="N48" s="14"/>
      <c r="O48" s="9"/>
    </row>
    <row r="49" spans="1:15" ht="12.75">
      <c r="A49" s="9"/>
      <c r="B49" s="9"/>
      <c r="C49" s="9"/>
      <c r="D49" s="9"/>
      <c r="E49" s="9"/>
      <c r="F49" s="9"/>
      <c r="H49" s="10"/>
      <c r="I49" s="11"/>
      <c r="J49" s="11"/>
      <c r="K49" s="11"/>
      <c r="L49" s="11"/>
      <c r="M49" s="11"/>
      <c r="N49" s="14"/>
      <c r="O49" s="9"/>
    </row>
    <row r="50" spans="1:15" ht="12.75">
      <c r="A50" s="9"/>
      <c r="B50" s="9"/>
      <c r="C50" s="9"/>
      <c r="D50" s="9"/>
      <c r="E50" s="9"/>
      <c r="F50" s="9"/>
      <c r="H50" s="10"/>
      <c r="I50" s="11"/>
      <c r="J50" s="11"/>
      <c r="K50" s="11"/>
      <c r="L50" s="11"/>
      <c r="M50" s="11"/>
      <c r="N50" s="14"/>
      <c r="O50" s="9"/>
    </row>
    <row r="51" spans="1:15" ht="12.75">
      <c r="A51" s="9"/>
      <c r="B51" s="9"/>
      <c r="C51" s="11"/>
      <c r="D51" s="11"/>
      <c r="E51" s="11"/>
      <c r="F51" s="11"/>
      <c r="H51" s="9"/>
      <c r="I51" s="9"/>
      <c r="J51" s="9"/>
      <c r="K51" s="9"/>
      <c r="L51" s="9"/>
      <c r="M51" s="9"/>
      <c r="N51" s="9"/>
      <c r="O51" s="9"/>
    </row>
    <row r="52" spans="1:15" ht="12.75">
      <c r="A52" s="9"/>
      <c r="B52" s="9"/>
      <c r="C52" s="11"/>
      <c r="D52" s="11"/>
      <c r="E52" s="11"/>
      <c r="F52" s="11"/>
      <c r="H52" s="9"/>
      <c r="I52" s="9"/>
      <c r="J52" s="9"/>
      <c r="K52" s="9"/>
      <c r="L52" s="9"/>
      <c r="M52" s="9"/>
      <c r="N52" s="9"/>
      <c r="O52" s="9"/>
    </row>
    <row r="53" spans="1:15" ht="12.75">
      <c r="A53" s="9"/>
      <c r="B53" s="9"/>
      <c r="C53" s="11"/>
      <c r="D53" s="11"/>
      <c r="E53" s="11"/>
      <c r="F53" s="11"/>
      <c r="H53" s="9"/>
      <c r="I53" s="9"/>
      <c r="J53" s="9"/>
      <c r="K53" s="9"/>
      <c r="L53" s="9"/>
      <c r="M53" s="9"/>
      <c r="N53" s="9"/>
      <c r="O53" s="9"/>
    </row>
    <row r="54" spans="1:15" ht="12.75">
      <c r="A54" s="9"/>
      <c r="B54" s="9"/>
      <c r="C54" s="11"/>
      <c r="D54" s="11"/>
      <c r="E54" s="11"/>
      <c r="F54" s="11"/>
      <c r="H54" s="10"/>
      <c r="I54" s="10"/>
      <c r="J54" s="10"/>
      <c r="K54" s="10"/>
      <c r="L54" s="10"/>
      <c r="M54" s="10"/>
      <c r="N54" s="9"/>
      <c r="O54" s="9"/>
    </row>
    <row r="55" spans="1:15" ht="12.75">
      <c r="A55" s="9"/>
      <c r="B55" s="9"/>
      <c r="C55" s="11"/>
      <c r="D55" s="11"/>
      <c r="E55" s="11"/>
      <c r="F55" s="11"/>
      <c r="H55" s="10"/>
      <c r="I55" s="11"/>
      <c r="J55" s="11"/>
      <c r="K55" s="11"/>
      <c r="L55" s="11"/>
      <c r="M55" s="11"/>
      <c r="N55" s="9"/>
      <c r="O55" s="9"/>
    </row>
    <row r="56" spans="1:15" ht="12.75">
      <c r="A56" s="9"/>
      <c r="B56" s="9"/>
      <c r="C56" s="11"/>
      <c r="D56" s="11"/>
      <c r="E56" s="11"/>
      <c r="F56" s="11"/>
      <c r="H56" s="10"/>
      <c r="I56" s="11"/>
      <c r="J56" s="11"/>
      <c r="K56" s="11"/>
      <c r="L56" s="11"/>
      <c r="M56" s="11"/>
      <c r="N56" s="9"/>
      <c r="O56" s="9"/>
    </row>
    <row r="57" spans="1:15" ht="12.75">
      <c r="A57" s="9"/>
      <c r="B57" s="9"/>
      <c r="C57" s="11"/>
      <c r="D57" s="11"/>
      <c r="E57" s="11"/>
      <c r="F57" s="11"/>
      <c r="H57" s="10"/>
      <c r="I57" s="11"/>
      <c r="J57" s="11"/>
      <c r="K57" s="11"/>
      <c r="L57" s="11"/>
      <c r="M57" s="11"/>
      <c r="N57" s="9"/>
      <c r="O57" s="9"/>
    </row>
    <row r="58" spans="1:15" ht="12.75">
      <c r="A58" s="9"/>
      <c r="B58" s="9"/>
      <c r="C58" s="11"/>
      <c r="D58" s="11"/>
      <c r="E58" s="11"/>
      <c r="F58" s="11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11"/>
      <c r="D59" s="11"/>
      <c r="E59" s="11"/>
      <c r="F59" s="11"/>
      <c r="H59" s="9"/>
      <c r="I59" s="9"/>
      <c r="J59" s="9"/>
      <c r="K59" s="9"/>
      <c r="L59" s="9"/>
      <c r="M59" s="9"/>
      <c r="N59" s="9"/>
      <c r="O59" s="9"/>
    </row>
    <row r="60" spans="1:13" ht="12.75">
      <c r="A60" s="9"/>
      <c r="B60" s="9"/>
      <c r="C60" s="9"/>
      <c r="D60" s="9"/>
      <c r="E60" s="9"/>
      <c r="F60" s="9"/>
      <c r="H60" s="10"/>
      <c r="I60" s="10"/>
      <c r="J60" s="10"/>
      <c r="K60" s="10"/>
      <c r="L60" s="10"/>
      <c r="M60" s="9"/>
    </row>
    <row r="61" spans="8:13" ht="12.75">
      <c r="H61" s="10"/>
      <c r="I61" s="11"/>
      <c r="J61" s="11"/>
      <c r="K61" s="11"/>
      <c r="L61" s="11"/>
      <c r="M61" s="9"/>
    </row>
    <row r="62" spans="8:13" ht="12.75">
      <c r="H62" s="10"/>
      <c r="I62" s="11"/>
      <c r="J62" s="11"/>
      <c r="K62" s="11"/>
      <c r="L62" s="11"/>
      <c r="M62" s="9"/>
    </row>
    <row r="63" spans="8:13" ht="12.75">
      <c r="H63" s="10"/>
      <c r="I63" s="11"/>
      <c r="J63" s="11"/>
      <c r="K63" s="11"/>
      <c r="L63" s="11"/>
      <c r="M63" s="9"/>
    </row>
    <row r="64" spans="8:13" ht="12.75">
      <c r="H64" s="10"/>
      <c r="I64" s="11"/>
      <c r="J64" s="11"/>
      <c r="K64" s="11"/>
      <c r="L64" s="11"/>
      <c r="M64" s="9"/>
    </row>
    <row r="65" spans="8:13" ht="12.75">
      <c r="H65" s="10"/>
      <c r="I65" s="11"/>
      <c r="J65" s="11"/>
      <c r="K65" s="11"/>
      <c r="L65" s="11"/>
      <c r="M65" s="9"/>
    </row>
    <row r="66" spans="8:13" ht="12.75">
      <c r="H66" s="10"/>
      <c r="I66" s="11"/>
      <c r="J66" s="11"/>
      <c r="K66" s="11"/>
      <c r="L66" s="11"/>
      <c r="M66" s="9"/>
    </row>
    <row r="67" spans="8:13" ht="12.75">
      <c r="H67" s="10"/>
      <c r="I67" s="11"/>
      <c r="J67" s="11"/>
      <c r="K67" s="11"/>
      <c r="L67" s="11"/>
      <c r="M67" s="9"/>
    </row>
    <row r="68" spans="8:13" ht="12.75">
      <c r="H68" s="10"/>
      <c r="I68" s="11"/>
      <c r="J68" s="11"/>
      <c r="K68" s="11"/>
      <c r="L68" s="11"/>
      <c r="M68" s="9"/>
    </row>
    <row r="69" spans="8:13" ht="12.75">
      <c r="H69" s="10"/>
      <c r="I69" s="11"/>
      <c r="J69" s="11"/>
      <c r="K69" s="11"/>
      <c r="L69" s="11"/>
      <c r="M69" s="9"/>
    </row>
    <row r="70" spans="8:13" ht="12.75">
      <c r="H70" s="9"/>
      <c r="I70" s="9"/>
      <c r="J70" s="9"/>
      <c r="K70" s="9"/>
      <c r="L70" s="9"/>
      <c r="M70" s="9"/>
    </row>
    <row r="71" spans="8:13" ht="12.75">
      <c r="H71" s="9"/>
      <c r="I71" s="9"/>
      <c r="J71" s="9"/>
      <c r="K71" s="9"/>
      <c r="L71" s="9"/>
      <c r="M71" s="9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Vanderbilt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Schneider</dc:creator>
  <cp:keywords/>
  <dc:description/>
  <cp:lastModifiedBy>Darryl Schneider</cp:lastModifiedBy>
  <dcterms:created xsi:type="dcterms:W3CDTF">2010-05-29T01:02:04Z</dcterms:created>
  <dcterms:modified xsi:type="dcterms:W3CDTF">2010-06-03T17:36:07Z</dcterms:modified>
  <cp:category/>
  <cp:version/>
  <cp:contentType/>
  <cp:contentStatus/>
</cp:coreProperties>
</file>